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3"/>
  </bookViews>
  <sheets>
    <sheet name="gaz" sheetId="1" r:id="rId1"/>
    <sheet name="electricite" sheetId="2" r:id="rId2"/>
    <sheet name="compgaz" sheetId="3" r:id="rId3"/>
    <sheet name="COMPEDF" sheetId="4" r:id="rId4"/>
    <sheet name="kwh gaz" sheetId="5" state="hidden" r:id="rId5"/>
  </sheets>
  <definedNames/>
  <calcPr fullCalcOnLoad="1"/>
</workbook>
</file>

<file path=xl/sharedStrings.xml><?xml version="1.0" encoding="utf-8"?>
<sst xmlns="http://schemas.openxmlformats.org/spreadsheetml/2006/main" count="185" uniqueCount="61">
  <si>
    <t>Facture</t>
  </si>
  <si>
    <t>Budget :</t>
  </si>
  <si>
    <t>Puissance souscrite</t>
  </si>
  <si>
    <t>Mois</t>
  </si>
  <si>
    <t>P</t>
  </si>
  <si>
    <t>HP</t>
  </si>
  <si>
    <t>HC</t>
  </si>
  <si>
    <t>kwh</t>
  </si>
  <si>
    <t>Prime fixe</t>
  </si>
  <si>
    <t>Puissance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</si>
  <si>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</si>
  <si>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</si>
  <si>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</si>
  <si>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</si>
  <si>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</si>
  <si>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</si>
  <si>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</si>
  <si>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</si>
  <si>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</si>
  <si>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</si>
  <si>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</si>
  <si>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</si>
  <si>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</si>
  <si>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prix moyen année :</t>
  </si>
  <si>
    <t>Prix moyen</t>
  </si>
  <si>
    <t>M3</t>
  </si>
  <si>
    <t>KWH</t>
  </si>
  <si>
    <t>Location entretien</t>
  </si>
  <si>
    <t>Dépassement</t>
  </si>
  <si>
    <t>Tarif vert A5 moyenne utilisation</t>
  </si>
  <si>
    <t>différence</t>
  </si>
  <si>
    <t>puissance atteinte</t>
  </si>
  <si>
    <t xml:space="preserve">Total </t>
  </si>
  <si>
    <t>euros</t>
  </si>
  <si>
    <t>Euros</t>
  </si>
  <si>
    <t>Prix moyen €</t>
  </si>
  <si>
    <t>AGFD070077</t>
  </si>
  <si>
    <t>prix kwh</t>
  </si>
  <si>
    <t>prix m3</t>
  </si>
  <si>
    <t>Total 2004</t>
  </si>
  <si>
    <t>Prix m3</t>
  </si>
  <si>
    <t>%age</t>
  </si>
  <si>
    <t>AGFD070081</t>
  </si>
  <si>
    <t>prix unitaire</t>
  </si>
  <si>
    <t>année 2004</t>
  </si>
  <si>
    <t>année 2005</t>
  </si>
  <si>
    <t>hors abonnement</t>
  </si>
  <si>
    <t>année 2006</t>
  </si>
  <si>
    <t>réf : AGFD050457</t>
  </si>
  <si>
    <t>Compteur 0</t>
  </si>
  <si>
    <t>AGFD050457</t>
  </si>
  <si>
    <t>Prix kwh</t>
  </si>
  <si>
    <t>2006</t>
  </si>
  <si>
    <t>COMPARAISON GAZ  2006/2007</t>
  </si>
  <si>
    <t>2007</t>
  </si>
  <si>
    <t>COMPARAISON ELECTRICITE 2006/2007</t>
  </si>
  <si>
    <t>Prix moyen kwh 2006</t>
  </si>
  <si>
    <t>Prix moyen kwh 2007</t>
  </si>
  <si>
    <t>CONSOMMATION DE GAZ : ANNEE 2007</t>
  </si>
  <si>
    <t>CONSOMMATION D'ELECTRICITE : ANNEE 2007</t>
  </si>
  <si>
    <t>vacances 1er quinzaine et temps d'été tout le mois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</si>
</sst>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#,##0\ &quot;F&quot;"/>
    <numFmt numFmtId="174" formatCode="#,##0.00\ [$€-1]"/>
    <numFmt numFmtId="175" formatCode="#,##0.00\ &quot;F&quot;"/>
    <numFmt numFmtId="176" formatCode="#,##0.0000"/>
    <numFmt numFmtId="177" formatCode="0.0000"/>
    <numFmt numFmtId="178" formatCode="_-* #,##0.00\ [$€-1]_-;\-* #,##0.00\ [$€-1]_-;_-* &quot;-&quot;??\ [$€-1]_-"/>
    <numFmt numFmtId="179" formatCode="_-* #,##0.00\ [$€-1]_-;\-* #,##0.00\ [$€-1]_-;_-* &quot;-&quot;??\ [$€-1]_-;_-@_-"/>
    <numFmt numFmtId="180" formatCode="#,##0.00_ ;[Red]\-#,##0.00\ "/>
    <numFmt numFmtId="181" formatCode="#,##0_ ;[Red]\-#,##0\ "/>
    <numFmt numFmtId="182" formatCode="#,##0\ [$€-1];[Red]\-#,##0\ [$€-1]"/>
    <numFmt numFmtId="183" formatCode="#,##0.0000\ [$€-1];\-#,##0.0000\ [$€-1]"/>
    <numFmt numFmtId="184" formatCode="#,##0.0000\ [$€-1]"/>
    <numFmt numFmtId="185" formatCode="_-* #,##0.0000\ [$€-1]_-;\-* #,##0.0000\ [$€-1]_-;_-* &quot;-&quot;????\ [$€-1]_-;_-@_-"/>
    <numFmt numFmtId="186" formatCode="#,##0.00\ [$€-1];[Red]\-#,##0.00\ [$€-1]"/>
    <numFmt numFmtId="187" formatCode="#,##0.0000_ ;[Red]\-#,##0.0000\ "/>
    <numFmt numFmtId="188" formatCode="#,##0.00\ &quot;€&quot;"/>
    <numFmt numFmtId="189" formatCode="#,##0.0000\ &quot;€&quot;;[Red]\-#,##0.0000\ &quot;€&quot;"/>
  </numFmts>
  <fonts count="13">
    <font>
      <sz val="10"/>
      <name val="Footlight MT Light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ahoma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i/>
      <sz val="10"/>
      <name val="Trebuchet MS"/>
      <family val="2"/>
    </font>
    <font>
      <b/>
      <sz val="10"/>
      <name val="Trebuchet MS"/>
      <family val="2"/>
    </font>
    <font>
      <b/>
      <u val="single"/>
      <sz val="10"/>
      <name val="Trebuchet MS"/>
      <family val="2"/>
    </font>
    <font>
      <sz val="9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7">
    <xf numFmtId="180" fontId="0" fillId="0" borderId="0" xfId="0" applyAlignment="1">
      <alignment/>
    </xf>
    <xf numFmtId="10" fontId="0" fillId="0" borderId="0" xfId="0" applyNumberFormat="1" applyAlignment="1">
      <alignment/>
    </xf>
    <xf numFmtId="180" fontId="5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80" fontId="6" fillId="0" borderId="0" xfId="0" applyFont="1" applyAlignment="1">
      <alignment/>
    </xf>
    <xf numFmtId="180" fontId="7" fillId="0" borderId="0" xfId="0" applyFont="1" applyAlignment="1">
      <alignment/>
    </xf>
    <xf numFmtId="180" fontId="8" fillId="0" borderId="0" xfId="0" applyFont="1" applyAlignment="1">
      <alignment horizontal="centerContinuous"/>
    </xf>
    <xf numFmtId="180" fontId="7" fillId="0" borderId="1" xfId="0" applyFont="1" applyBorder="1" applyAlignment="1">
      <alignment horizontal="centerContinuous"/>
    </xf>
    <xf numFmtId="180" fontId="7" fillId="0" borderId="2" xfId="0" applyFont="1" applyBorder="1" applyAlignment="1">
      <alignment horizontal="centerContinuous"/>
    </xf>
    <xf numFmtId="180" fontId="7" fillId="0" borderId="3" xfId="0" applyFont="1" applyBorder="1" applyAlignment="1">
      <alignment horizontal="centerContinuous"/>
    </xf>
    <xf numFmtId="180" fontId="7" fillId="0" borderId="4" xfId="0" applyFont="1" applyBorder="1" applyAlignment="1">
      <alignment horizontal="center"/>
    </xf>
    <xf numFmtId="180" fontId="7" fillId="0" borderId="5" xfId="0" applyFont="1" applyBorder="1" applyAlignment="1">
      <alignment horizontal="centerContinuous"/>
    </xf>
    <xf numFmtId="180" fontId="7" fillId="0" borderId="6" xfId="0" applyFont="1" applyBorder="1" applyAlignment="1">
      <alignment horizontal="centerContinuous"/>
    </xf>
    <xf numFmtId="180" fontId="7" fillId="0" borderId="7" xfId="0" applyFont="1" applyBorder="1" applyAlignment="1">
      <alignment horizontal="centerContinuous"/>
    </xf>
    <xf numFmtId="180" fontId="7" fillId="0" borderId="8" xfId="0" applyFont="1" applyBorder="1" applyAlignment="1">
      <alignment horizontal="centerContinuous"/>
    </xf>
    <xf numFmtId="180" fontId="7" fillId="0" borderId="9" xfId="0" applyFont="1" applyBorder="1" applyAlignment="1">
      <alignment/>
    </xf>
    <xf numFmtId="180" fontId="10" fillId="0" borderId="5" xfId="0" applyFont="1" applyBorder="1" applyAlignment="1">
      <alignment horizontal="left"/>
    </xf>
    <xf numFmtId="3" fontId="7" fillId="0" borderId="7" xfId="0" applyNumberFormat="1" applyFont="1" applyBorder="1" applyAlignment="1">
      <alignment horizontal="centerContinuous"/>
    </xf>
    <xf numFmtId="180" fontId="7" fillId="0" borderId="5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176" fontId="7" fillId="0" borderId="9" xfId="0" applyNumberFormat="1" applyFont="1" applyBorder="1" applyAlignment="1">
      <alignment/>
    </xf>
    <xf numFmtId="3" fontId="10" fillId="0" borderId="6" xfId="0" applyNumberFormat="1" applyFont="1" applyBorder="1" applyAlignment="1">
      <alignment horizontal="center"/>
    </xf>
    <xf numFmtId="178" fontId="10" fillId="0" borderId="6" xfId="15" applyFont="1" applyBorder="1" applyAlignment="1">
      <alignment horizontal="center"/>
    </xf>
    <xf numFmtId="185" fontId="10" fillId="0" borderId="7" xfId="15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180" fontId="10" fillId="0" borderId="10" xfId="0" applyFont="1" applyBorder="1" applyAlignment="1">
      <alignment horizontal="left"/>
    </xf>
    <xf numFmtId="185" fontId="10" fillId="0" borderId="11" xfId="15" applyNumberFormat="1" applyFont="1" applyBorder="1" applyAlignment="1">
      <alignment horizontal="center"/>
    </xf>
    <xf numFmtId="185" fontId="10" fillId="0" borderId="12" xfId="15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180" fontId="7" fillId="0" borderId="13" xfId="0" applyFont="1" applyBorder="1" applyAlignment="1">
      <alignment/>
    </xf>
    <xf numFmtId="180" fontId="7" fillId="0" borderId="0" xfId="0" applyFont="1" applyAlignment="1">
      <alignment horizontal="left"/>
    </xf>
    <xf numFmtId="3" fontId="10" fillId="0" borderId="7" xfId="0" applyNumberFormat="1" applyFont="1" applyBorder="1" applyAlignment="1">
      <alignment horizontal="center"/>
    </xf>
    <xf numFmtId="10" fontId="7" fillId="0" borderId="0" xfId="0" applyNumberFormat="1" applyFont="1" applyAlignment="1">
      <alignment/>
    </xf>
    <xf numFmtId="180" fontId="7" fillId="0" borderId="12" xfId="0" applyFont="1" applyBorder="1" applyAlignment="1">
      <alignment/>
    </xf>
    <xf numFmtId="177" fontId="7" fillId="0" borderId="0" xfId="0" applyNumberFormat="1" applyFont="1" applyAlignment="1">
      <alignment/>
    </xf>
    <xf numFmtId="180" fontId="9" fillId="0" borderId="0" xfId="0" applyFont="1" applyAlignment="1">
      <alignment/>
    </xf>
    <xf numFmtId="180" fontId="10" fillId="0" borderId="14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77" fontId="10" fillId="0" borderId="14" xfId="0" applyNumberFormat="1" applyFont="1" applyBorder="1" applyAlignment="1">
      <alignment horizontal="center"/>
    </xf>
    <xf numFmtId="10" fontId="10" fillId="0" borderId="16" xfId="0" applyNumberFormat="1" applyFont="1" applyFill="1" applyBorder="1" applyAlignment="1">
      <alignment horizontal="center"/>
    </xf>
    <xf numFmtId="180" fontId="7" fillId="0" borderId="17" xfId="0" applyFont="1" applyBorder="1" applyAlignment="1">
      <alignment/>
    </xf>
    <xf numFmtId="180" fontId="7" fillId="0" borderId="18" xfId="0" applyFont="1" applyBorder="1" applyAlignment="1">
      <alignment/>
    </xf>
    <xf numFmtId="177" fontId="7" fillId="0" borderId="5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0" fontId="7" fillId="0" borderId="9" xfId="0" applyNumberFormat="1" applyFont="1" applyBorder="1" applyAlignment="1">
      <alignment/>
    </xf>
    <xf numFmtId="180" fontId="11" fillId="0" borderId="5" xfId="0" applyFont="1" applyBorder="1" applyAlignment="1">
      <alignment horizontal="left"/>
    </xf>
    <xf numFmtId="180" fontId="7" fillId="0" borderId="7" xfId="0" applyFont="1" applyBorder="1" applyAlignment="1">
      <alignment/>
    </xf>
    <xf numFmtId="174" fontId="7" fillId="0" borderId="7" xfId="0" applyNumberFormat="1" applyFont="1" applyBorder="1" applyAlignment="1">
      <alignment horizontal="right"/>
    </xf>
    <xf numFmtId="174" fontId="7" fillId="0" borderId="18" xfId="0" applyNumberFormat="1" applyFont="1" applyBorder="1" applyAlignment="1">
      <alignment/>
    </xf>
    <xf numFmtId="174" fontId="10" fillId="0" borderId="6" xfId="0" applyNumberFormat="1" applyFont="1" applyBorder="1" applyAlignment="1">
      <alignment horizontal="center"/>
    </xf>
    <xf numFmtId="185" fontId="10" fillId="0" borderId="5" xfId="15" applyNumberFormat="1" applyFont="1" applyBorder="1" applyAlignment="1">
      <alignment/>
    </xf>
    <xf numFmtId="185" fontId="10" fillId="0" borderId="7" xfId="15" applyNumberFormat="1" applyFont="1" applyBorder="1" applyAlignment="1">
      <alignment/>
    </xf>
    <xf numFmtId="185" fontId="10" fillId="0" borderId="19" xfId="15" applyNumberFormat="1" applyFont="1" applyBorder="1" applyAlignment="1">
      <alignment/>
    </xf>
    <xf numFmtId="10" fontId="10" fillId="0" borderId="9" xfId="0" applyNumberFormat="1" applyFont="1" applyBorder="1" applyAlignment="1">
      <alignment/>
    </xf>
    <xf numFmtId="176" fontId="10" fillId="0" borderId="6" xfId="0" applyNumberFormat="1" applyFont="1" applyBorder="1" applyAlignment="1">
      <alignment horizontal="center"/>
    </xf>
    <xf numFmtId="174" fontId="10" fillId="0" borderId="7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176" fontId="10" fillId="0" borderId="11" xfId="0" applyNumberFormat="1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1" xfId="0" applyFont="1" applyBorder="1" applyAlignment="1">
      <alignment/>
    </xf>
    <xf numFmtId="180" fontId="7" fillId="0" borderId="22" xfId="0" applyFont="1" applyBorder="1" applyAlignment="1">
      <alignment/>
    </xf>
    <xf numFmtId="180" fontId="7" fillId="0" borderId="23" xfId="0" applyFont="1" applyBorder="1" applyAlignment="1">
      <alignment/>
    </xf>
    <xf numFmtId="180" fontId="7" fillId="0" borderId="24" xfId="0" applyFont="1" applyBorder="1" applyAlignment="1">
      <alignment/>
    </xf>
    <xf numFmtId="177" fontId="7" fillId="0" borderId="25" xfId="0" applyNumberFormat="1" applyFont="1" applyBorder="1" applyAlignment="1">
      <alignment/>
    </xf>
    <xf numFmtId="10" fontId="7" fillId="0" borderId="25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80" fontId="7" fillId="0" borderId="10" xfId="0" applyFont="1" applyBorder="1" applyAlignment="1">
      <alignment/>
    </xf>
    <xf numFmtId="180" fontId="6" fillId="0" borderId="0" xfId="0" applyFont="1" applyAlignment="1">
      <alignment horizontal="centerContinuous"/>
    </xf>
    <xf numFmtId="180" fontId="10" fillId="0" borderId="0" xfId="0" applyFont="1" applyAlignment="1">
      <alignment horizontal="centerContinuous"/>
    </xf>
    <xf numFmtId="180" fontId="7" fillId="0" borderId="26" xfId="0" applyFont="1" applyBorder="1" applyAlignment="1">
      <alignment horizontal="center"/>
    </xf>
    <xf numFmtId="180" fontId="7" fillId="0" borderId="19" xfId="0" applyFont="1" applyBorder="1" applyAlignment="1">
      <alignment/>
    </xf>
    <xf numFmtId="180" fontId="7" fillId="0" borderId="5" xfId="0" applyFont="1" applyBorder="1" applyAlignment="1">
      <alignment/>
    </xf>
    <xf numFmtId="3" fontId="7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177" fontId="7" fillId="0" borderId="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80" fontId="7" fillId="0" borderId="10" xfId="0" applyFont="1" applyBorder="1" applyAlignment="1">
      <alignment horizontal="centerContinuous"/>
    </xf>
    <xf numFmtId="3" fontId="10" fillId="0" borderId="12" xfId="0" applyNumberFormat="1" applyFont="1" applyBorder="1" applyAlignment="1">
      <alignment/>
    </xf>
    <xf numFmtId="4" fontId="10" fillId="2" borderId="12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180" fontId="7" fillId="0" borderId="0" xfId="0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80" fontId="7" fillId="0" borderId="0" xfId="0" applyFont="1" applyBorder="1" applyAlignment="1">
      <alignment/>
    </xf>
    <xf numFmtId="183" fontId="10" fillId="0" borderId="0" xfId="15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180" fontId="10" fillId="0" borderId="27" xfId="0" applyFont="1" applyBorder="1" applyAlignment="1">
      <alignment horizontal="center"/>
    </xf>
    <xf numFmtId="180" fontId="10" fillId="0" borderId="16" xfId="0" applyFont="1" applyBorder="1" applyAlignment="1">
      <alignment horizontal="center"/>
    </xf>
    <xf numFmtId="180" fontId="7" fillId="0" borderId="22" xfId="0" applyFont="1" applyBorder="1" applyAlignment="1">
      <alignment horizontal="centerContinuous"/>
    </xf>
    <xf numFmtId="3" fontId="7" fillId="0" borderId="9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/>
    </xf>
    <xf numFmtId="176" fontId="7" fillId="0" borderId="7" xfId="0" applyNumberFormat="1" applyFont="1" applyBorder="1" applyAlignment="1">
      <alignment/>
    </xf>
    <xf numFmtId="176" fontId="7" fillId="0" borderId="19" xfId="0" applyNumberFormat="1" applyFont="1" applyBorder="1" applyAlignment="1">
      <alignment/>
    </xf>
    <xf numFmtId="3" fontId="7" fillId="0" borderId="7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76" fontId="10" fillId="0" borderId="12" xfId="0" applyNumberFormat="1" applyFont="1" applyBorder="1" applyAlignment="1">
      <alignment/>
    </xf>
    <xf numFmtId="176" fontId="10" fillId="0" borderId="2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80" fontId="7" fillId="0" borderId="28" xfId="0" applyFont="1" applyBorder="1" applyAlignment="1">
      <alignment/>
    </xf>
    <xf numFmtId="180" fontId="7" fillId="0" borderId="29" xfId="0" applyFont="1" applyBorder="1" applyAlignment="1">
      <alignment/>
    </xf>
    <xf numFmtId="184" fontId="10" fillId="0" borderId="8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80" fontId="12" fillId="0" borderId="3" xfId="0" applyFont="1" applyBorder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186" fontId="7" fillId="0" borderId="18" xfId="0" applyNumberFormat="1" applyFont="1" applyBorder="1" applyAlignment="1">
      <alignment/>
    </xf>
    <xf numFmtId="186" fontId="10" fillId="0" borderId="18" xfId="0" applyNumberFormat="1" applyFont="1" applyBorder="1" applyAlignment="1">
      <alignment horizontal="center"/>
    </xf>
    <xf numFmtId="181" fontId="7" fillId="0" borderId="0" xfId="0" applyNumberFormat="1" applyFont="1" applyAlignment="1">
      <alignment/>
    </xf>
    <xf numFmtId="181" fontId="7" fillId="0" borderId="7" xfId="0" applyNumberFormat="1" applyFont="1" applyBorder="1" applyAlignment="1">
      <alignment/>
    </xf>
    <xf numFmtId="181" fontId="10" fillId="0" borderId="6" xfId="0" applyNumberFormat="1" applyFont="1" applyBorder="1" applyAlignment="1">
      <alignment horizontal="center"/>
    </xf>
    <xf numFmtId="181" fontId="10" fillId="0" borderId="12" xfId="0" applyNumberFormat="1" applyFont="1" applyBorder="1" applyAlignment="1">
      <alignment/>
    </xf>
    <xf numFmtId="181" fontId="7" fillId="0" borderId="9" xfId="0" applyNumberFormat="1" applyFont="1" applyBorder="1" applyAlignment="1">
      <alignment horizontal="center"/>
    </xf>
    <xf numFmtId="187" fontId="7" fillId="0" borderId="19" xfId="0" applyNumberFormat="1" applyFont="1" applyBorder="1" applyAlignment="1">
      <alignment/>
    </xf>
    <xf numFmtId="187" fontId="7" fillId="0" borderId="0" xfId="0" applyNumberFormat="1" applyFont="1" applyAlignment="1">
      <alignment/>
    </xf>
    <xf numFmtId="180" fontId="7" fillId="0" borderId="8" xfId="0" applyFont="1" applyBorder="1" applyAlignment="1">
      <alignment/>
    </xf>
    <xf numFmtId="187" fontId="7" fillId="0" borderId="8" xfId="0" applyNumberFormat="1" applyFont="1" applyBorder="1" applyAlignment="1">
      <alignment/>
    </xf>
    <xf numFmtId="10" fontId="7" fillId="0" borderId="8" xfId="0" applyNumberFormat="1" applyFont="1" applyBorder="1" applyAlignment="1">
      <alignment/>
    </xf>
    <xf numFmtId="180" fontId="7" fillId="0" borderId="8" xfId="0" applyFont="1" applyBorder="1" applyAlignment="1" quotePrefix="1">
      <alignment/>
    </xf>
    <xf numFmtId="181" fontId="7" fillId="0" borderId="8" xfId="0" applyNumberFormat="1" applyFont="1" applyBorder="1" applyAlignment="1">
      <alignment/>
    </xf>
    <xf numFmtId="8" fontId="7" fillId="0" borderId="8" xfId="0" applyNumberFormat="1" applyFont="1" applyBorder="1" applyAlignment="1">
      <alignment/>
    </xf>
    <xf numFmtId="49" fontId="10" fillId="0" borderId="30" xfId="0" applyNumberFormat="1" applyFont="1" applyBorder="1" applyAlignment="1" quotePrefix="1">
      <alignment horizontal="center"/>
    </xf>
    <xf numFmtId="49" fontId="10" fillId="0" borderId="16" xfId="0" applyNumberFormat="1" applyFont="1" applyBorder="1" applyAlignment="1" quotePrefix="1">
      <alignment horizontal="center"/>
    </xf>
    <xf numFmtId="188" fontId="7" fillId="0" borderId="7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9" fontId="7" fillId="0" borderId="8" xfId="0" applyNumberFormat="1" applyFont="1" applyBorder="1" applyAlignment="1">
      <alignment/>
    </xf>
    <xf numFmtId="3" fontId="7" fillId="2" borderId="0" xfId="0" applyNumberFormat="1" applyFont="1" applyFill="1" applyAlignment="1">
      <alignment horizontal="left"/>
    </xf>
    <xf numFmtId="177" fontId="7" fillId="0" borderId="10" xfId="0" applyNumberFormat="1" applyFont="1" applyBorder="1" applyAlignment="1">
      <alignment/>
    </xf>
    <xf numFmtId="180" fontId="7" fillId="0" borderId="31" xfId="0" applyFont="1" applyBorder="1" applyAlignment="1">
      <alignment/>
    </xf>
    <xf numFmtId="181" fontId="7" fillId="0" borderId="19" xfId="0" applyNumberFormat="1" applyFont="1" applyBorder="1" applyAlignment="1">
      <alignment/>
    </xf>
    <xf numFmtId="181" fontId="10" fillId="0" borderId="0" xfId="0" applyNumberFormat="1" applyFont="1" applyBorder="1" applyAlignment="1">
      <alignment horizontal="center"/>
    </xf>
    <xf numFmtId="180" fontId="7" fillId="0" borderId="17" xfId="0" applyFont="1" applyBorder="1" applyAlignment="1">
      <alignment horizontal="centerContinuous"/>
    </xf>
    <xf numFmtId="3" fontId="7" fillId="3" borderId="7" xfId="0" applyNumberFormat="1" applyFont="1" applyFill="1" applyBorder="1" applyAlignment="1">
      <alignment horizontal="right"/>
    </xf>
    <xf numFmtId="176" fontId="10" fillId="0" borderId="7" xfId="0" applyNumberFormat="1" applyFont="1" applyBorder="1" applyAlignment="1">
      <alignment horizontal="center"/>
    </xf>
    <xf numFmtId="176" fontId="10" fillId="0" borderId="12" xfId="0" applyNumberFormat="1" applyFont="1" applyBorder="1" applyAlignment="1">
      <alignment horizontal="center"/>
    </xf>
    <xf numFmtId="185" fontId="10" fillId="0" borderId="6" xfId="15" applyNumberFormat="1" applyFont="1" applyFill="1" applyBorder="1" applyAlignment="1">
      <alignment horizontal="center"/>
    </xf>
    <xf numFmtId="176" fontId="10" fillId="0" borderId="9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176" fontId="10" fillId="0" borderId="5" xfId="0" applyNumberFormat="1" applyFont="1" applyBorder="1" applyAlignment="1">
      <alignment/>
    </xf>
    <xf numFmtId="176" fontId="10" fillId="0" borderId="7" xfId="0" applyNumberFormat="1" applyFont="1" applyBorder="1" applyAlignment="1">
      <alignment/>
    </xf>
    <xf numFmtId="176" fontId="10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180" fontId="7" fillId="0" borderId="0" xfId="0" applyFont="1" applyFill="1" applyAlignment="1">
      <alignment/>
    </xf>
    <xf numFmtId="3" fontId="7" fillId="0" borderId="7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right"/>
    </xf>
    <xf numFmtId="181" fontId="7" fillId="0" borderId="0" xfId="0" applyNumberFormat="1" applyFont="1" applyFill="1" applyAlignment="1">
      <alignment/>
    </xf>
    <xf numFmtId="176" fontId="10" fillId="0" borderId="19" xfId="15" applyNumberFormat="1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3" fontId="7" fillId="2" borderId="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/>
    </xf>
    <xf numFmtId="180" fontId="10" fillId="0" borderId="30" xfId="0" applyFont="1" applyBorder="1" applyAlignment="1">
      <alignment horizontal="center"/>
    </xf>
    <xf numFmtId="180" fontId="10" fillId="0" borderId="15" xfId="0" applyFont="1" applyBorder="1" applyAlignment="1">
      <alignment horizontal="center"/>
    </xf>
    <xf numFmtId="180" fontId="10" fillId="0" borderId="14" xfId="0" applyFont="1" applyBorder="1" applyAlignment="1">
      <alignment horizontal="center"/>
    </xf>
    <xf numFmtId="180" fontId="10" fillId="0" borderId="3" xfId="0" applyFont="1" applyBorder="1" applyAlignment="1">
      <alignment horizontal="center"/>
    </xf>
    <xf numFmtId="177" fontId="10" fillId="0" borderId="32" xfId="0" applyNumberFormat="1" applyFont="1" applyBorder="1" applyAlignment="1">
      <alignment horizontal="center"/>
    </xf>
    <xf numFmtId="177" fontId="10" fillId="0" borderId="33" xfId="0" applyNumberFormat="1" applyFont="1" applyBorder="1" applyAlignment="1">
      <alignment horizontal="center"/>
    </xf>
    <xf numFmtId="177" fontId="10" fillId="0" borderId="34" xfId="0" applyNumberFormat="1" applyFont="1" applyBorder="1" applyAlignment="1">
      <alignment horizontal="center"/>
    </xf>
    <xf numFmtId="180" fontId="10" fillId="0" borderId="4" xfId="0" applyFont="1" applyBorder="1" applyAlignment="1">
      <alignment horizontal="center"/>
    </xf>
    <xf numFmtId="180" fontId="10" fillId="0" borderId="23" xfId="0" applyFont="1" applyBorder="1" applyAlignment="1">
      <alignment horizontal="center"/>
    </xf>
    <xf numFmtId="180" fontId="10" fillId="0" borderId="24" xfId="0" applyFont="1" applyBorder="1" applyAlignment="1">
      <alignment horizontal="center"/>
    </xf>
    <xf numFmtId="180" fontId="7" fillId="0" borderId="8" xfId="0" applyFont="1" applyBorder="1" applyAlignment="1">
      <alignment horizontal="center"/>
    </xf>
    <xf numFmtId="180" fontId="7" fillId="0" borderId="28" xfId="0" applyFont="1" applyBorder="1" applyAlignment="1">
      <alignment horizontal="center"/>
    </xf>
    <xf numFmtId="180" fontId="7" fillId="0" borderId="35" xfId="0" applyFont="1" applyBorder="1" applyAlignment="1">
      <alignment horizontal="center"/>
    </xf>
    <xf numFmtId="180" fontId="7" fillId="0" borderId="29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0</xdr:rowOff>
    </xdr:from>
    <xdr:to>
      <xdr:col>4</xdr:col>
      <xdr:colOff>485775</xdr:colOff>
      <xdr:row>13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2324100" y="381000"/>
          <a:ext cx="146685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otlight MT Light"/>
              <a:ea typeface="Footlight MT Light"/>
              <a:cs typeface="Footlight MT Ligh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workbookViewId="0" topLeftCell="A1">
      <selection activeCell="H25" sqref="H25"/>
    </sheetView>
  </sheetViews>
  <sheetFormatPr defaultColWidth="11.421875" defaultRowHeight="12.75"/>
  <cols>
    <col min="1" max="4" width="16.7109375" style="0" customWidth="1"/>
  </cols>
  <sheetData>
    <row r="1" spans="1:4" ht="15">
      <c r="A1" s="5"/>
      <c r="B1" s="5"/>
      <c r="C1" s="6"/>
      <c r="D1" s="6" t="s">
        <v>48</v>
      </c>
    </row>
    <row r="2" spans="1:4" ht="15">
      <c r="A2" s="5"/>
      <c r="B2" s="5"/>
      <c r="C2" s="6"/>
      <c r="D2" s="6"/>
    </row>
    <row r="3" spans="1:4" ht="15">
      <c r="A3" s="6"/>
      <c r="B3" s="6"/>
      <c r="C3" s="6"/>
      <c r="D3" s="6"/>
    </row>
    <row r="4" spans="1:4" ht="15">
      <c r="A4" s="6"/>
      <c r="B4" s="6"/>
      <c r="D4" s="6"/>
    </row>
    <row r="5" spans="1:4" ht="15">
      <c r="A5" s="6"/>
      <c r="B5" s="6"/>
      <c r="C5" s="6"/>
      <c r="D5" s="6"/>
    </row>
    <row r="6" spans="1:4" ht="18">
      <c r="A6" s="7" t="s">
        <v>58</v>
      </c>
      <c r="B6" s="7"/>
      <c r="C6" s="7"/>
      <c r="D6" s="7"/>
    </row>
    <row r="7" spans="1:4" ht="15">
      <c r="A7" s="6"/>
      <c r="B7" s="6"/>
      <c r="C7" s="6"/>
      <c r="D7" s="6"/>
    </row>
    <row r="8" ht="13.5" thickBot="1"/>
    <row r="9" spans="1:6" s="6" customFormat="1" ht="15.75" thickTop="1">
      <c r="A9" s="8" t="s">
        <v>3</v>
      </c>
      <c r="B9" s="9" t="s">
        <v>25</v>
      </c>
      <c r="C9" s="10" t="s">
        <v>26</v>
      </c>
      <c r="D9" s="10" t="s">
        <v>0</v>
      </c>
      <c r="E9" s="11" t="s">
        <v>38</v>
      </c>
      <c r="F9" s="11" t="s">
        <v>37</v>
      </c>
    </row>
    <row r="10" spans="1:6" s="6" customFormat="1" ht="15">
      <c r="A10" s="12"/>
      <c r="B10" s="13"/>
      <c r="C10" s="14"/>
      <c r="D10" s="15" t="s">
        <v>34</v>
      </c>
      <c r="E10" s="16"/>
      <c r="F10" s="16"/>
    </row>
    <row r="11" spans="1:6" s="6" customFormat="1" ht="15">
      <c r="A11" s="17" t="s">
        <v>49</v>
      </c>
      <c r="B11" s="13"/>
      <c r="C11" s="18"/>
      <c r="D11" s="18"/>
      <c r="E11" s="16"/>
      <c r="F11" s="16"/>
    </row>
    <row r="12" spans="1:6" s="6" customFormat="1" ht="15">
      <c r="A12" s="17" t="s">
        <v>50</v>
      </c>
      <c r="B12" s="13"/>
      <c r="C12" s="18"/>
      <c r="D12" s="18"/>
      <c r="E12" s="16"/>
      <c r="F12" s="16"/>
    </row>
    <row r="13" spans="1:6" s="6" customFormat="1" ht="15">
      <c r="A13" s="19" t="s">
        <v>10</v>
      </c>
      <c r="B13" s="20">
        <v>12208</v>
      </c>
      <c r="C13" s="113">
        <v>144482</v>
      </c>
      <c r="D13" s="22">
        <v>6116.21</v>
      </c>
      <c r="E13" s="23">
        <f aca="true" t="shared" si="0" ref="E13:E25">SUM(D13/B13)</f>
        <v>0.5010001638269987</v>
      </c>
      <c r="F13" s="23">
        <f>D13/C13</f>
        <v>0.04233198599133456</v>
      </c>
    </row>
    <row r="14" spans="1:6" s="6" customFormat="1" ht="15">
      <c r="A14" s="19" t="s">
        <v>11</v>
      </c>
      <c r="B14" s="157">
        <v>11656</v>
      </c>
      <c r="C14" s="21">
        <v>138835</v>
      </c>
      <c r="D14" s="22">
        <v>5879.76</v>
      </c>
      <c r="E14" s="23">
        <f t="shared" si="0"/>
        <v>0.5044406314344544</v>
      </c>
      <c r="F14" s="23">
        <f aca="true" t="shared" si="1" ref="F14:F25">D14/C14</f>
        <v>0.042350704073180395</v>
      </c>
    </row>
    <row r="15" spans="1:6" s="6" customFormat="1" ht="15">
      <c r="A15" s="19" t="s">
        <v>12</v>
      </c>
      <c r="B15" s="157">
        <v>14160</v>
      </c>
      <c r="C15" s="21">
        <v>168646</v>
      </c>
      <c r="D15" s="22">
        <v>7128.01</v>
      </c>
      <c r="E15" s="23">
        <f t="shared" si="0"/>
        <v>0.5033905367231638</v>
      </c>
      <c r="F15" s="23">
        <f t="shared" si="1"/>
        <v>0.04226610770489665</v>
      </c>
    </row>
    <row r="16" spans="1:6" s="6" customFormat="1" ht="15">
      <c r="A16" s="19" t="s">
        <v>13</v>
      </c>
      <c r="B16" s="157">
        <v>325</v>
      </c>
      <c r="C16" s="21">
        <v>4611</v>
      </c>
      <c r="D16" s="22">
        <v>1756.25</v>
      </c>
      <c r="E16" s="23">
        <f t="shared" si="0"/>
        <v>5.403846153846154</v>
      </c>
      <c r="F16" s="23">
        <f t="shared" si="1"/>
        <v>0.38088267187161134</v>
      </c>
    </row>
    <row r="17" spans="1:6" s="6" customFormat="1" ht="15">
      <c r="A17" s="19" t="s">
        <v>14</v>
      </c>
      <c r="B17" s="157">
        <v>752</v>
      </c>
      <c r="C17" s="113">
        <v>8986</v>
      </c>
      <c r="D17" s="22">
        <v>385.56</v>
      </c>
      <c r="E17" s="23">
        <f t="shared" si="0"/>
        <v>0.5127127659574469</v>
      </c>
      <c r="F17" s="23">
        <f t="shared" si="1"/>
        <v>0.04290674382372579</v>
      </c>
    </row>
    <row r="18" spans="1:6" s="6" customFormat="1" ht="15">
      <c r="A18" s="19" t="s">
        <v>15</v>
      </c>
      <c r="B18" s="157">
        <v>464</v>
      </c>
      <c r="C18" s="21">
        <v>5527</v>
      </c>
      <c r="D18" s="22">
        <v>262.72</v>
      </c>
      <c r="E18" s="23">
        <f t="shared" si="0"/>
        <v>0.5662068965517242</v>
      </c>
      <c r="F18" s="23">
        <f t="shared" si="1"/>
        <v>0.04753392437126833</v>
      </c>
    </row>
    <row r="19" spans="1:6" s="6" customFormat="1" ht="15">
      <c r="A19" s="19" t="s">
        <v>16</v>
      </c>
      <c r="B19" s="157">
        <v>118</v>
      </c>
      <c r="C19" s="21">
        <v>1413</v>
      </c>
      <c r="D19" s="22">
        <v>116.64</v>
      </c>
      <c r="E19" s="23">
        <f t="shared" si="0"/>
        <v>0.9884745762711864</v>
      </c>
      <c r="F19" s="23">
        <f t="shared" si="1"/>
        <v>0.08254777070063694</v>
      </c>
    </row>
    <row r="20" spans="1:6" s="6" customFormat="1" ht="15">
      <c r="A20" s="19" t="s">
        <v>17</v>
      </c>
      <c r="B20" s="157"/>
      <c r="C20" s="21"/>
      <c r="D20" s="22"/>
      <c r="E20" s="23" t="e">
        <f t="shared" si="0"/>
        <v>#DIV/0!</v>
      </c>
      <c r="F20" s="23" t="e">
        <f t="shared" si="1"/>
        <v>#DIV/0!</v>
      </c>
    </row>
    <row r="21" spans="1:6" s="6" customFormat="1" ht="15">
      <c r="A21" s="19" t="s">
        <v>18</v>
      </c>
      <c r="B21" s="157"/>
      <c r="C21" s="21"/>
      <c r="D21" s="22"/>
      <c r="E21" s="23" t="e">
        <f t="shared" si="0"/>
        <v>#DIV/0!</v>
      </c>
      <c r="F21" s="23" t="e">
        <f t="shared" si="1"/>
        <v>#DIV/0!</v>
      </c>
    </row>
    <row r="22" spans="1:6" s="6" customFormat="1" ht="15">
      <c r="A22" s="19" t="s">
        <v>19</v>
      </c>
      <c r="B22" s="20"/>
      <c r="C22" s="21"/>
      <c r="D22" s="22"/>
      <c r="E22" s="23" t="e">
        <f t="shared" si="0"/>
        <v>#DIV/0!</v>
      </c>
      <c r="F22" s="23" t="e">
        <f t="shared" si="1"/>
        <v>#DIV/0!</v>
      </c>
    </row>
    <row r="23" spans="1:6" s="6" customFormat="1" ht="15">
      <c r="A23" s="19" t="s">
        <v>20</v>
      </c>
      <c r="B23" s="20"/>
      <c r="C23" s="21"/>
      <c r="D23" s="22"/>
      <c r="E23" s="23" t="e">
        <f t="shared" si="0"/>
        <v>#DIV/0!</v>
      </c>
      <c r="F23" s="23" t="e">
        <f t="shared" si="1"/>
        <v>#DIV/0!</v>
      </c>
    </row>
    <row r="24" spans="1:6" s="6" customFormat="1" ht="15">
      <c r="A24" s="19" t="s">
        <v>21</v>
      </c>
      <c r="B24" s="20"/>
      <c r="C24" s="21"/>
      <c r="D24" s="22"/>
      <c r="E24" s="23" t="e">
        <f t="shared" si="0"/>
        <v>#DIV/0!</v>
      </c>
      <c r="F24" s="23" t="e">
        <f t="shared" si="1"/>
        <v>#DIV/0!</v>
      </c>
    </row>
    <row r="25" spans="1:6" s="6" customFormat="1" ht="15">
      <c r="A25" s="17" t="s">
        <v>39</v>
      </c>
      <c r="B25" s="24">
        <f>SUM(B13:B24)</f>
        <v>39683</v>
      </c>
      <c r="C25" s="24">
        <f>SUM(C13:C24)</f>
        <v>472500</v>
      </c>
      <c r="D25" s="25">
        <f>SUM(D13:D24)</f>
        <v>21645.150000000005</v>
      </c>
      <c r="E25" s="144">
        <f t="shared" si="0"/>
        <v>0.5454514527631481</v>
      </c>
      <c r="F25" s="144">
        <f t="shared" si="1"/>
        <v>0.04580984126984128</v>
      </c>
    </row>
    <row r="26" spans="1:6" s="6" customFormat="1" ht="15">
      <c r="A26" s="17" t="s">
        <v>35</v>
      </c>
      <c r="B26" s="143">
        <f>SUM(D25/B25)</f>
        <v>0.5454514527631481</v>
      </c>
      <c r="C26" s="26">
        <f>SUM(D25/C25)</f>
        <v>0.04580984126984128</v>
      </c>
      <c r="D26" s="27"/>
      <c r="E26" s="23"/>
      <c r="F26" s="23"/>
    </row>
    <row r="27" spans="1:6" s="6" customFormat="1" ht="15.75" thickBot="1">
      <c r="A27" s="28"/>
      <c r="B27" s="29"/>
      <c r="C27" s="30"/>
      <c r="D27" s="31"/>
      <c r="E27" s="32"/>
      <c r="F27" s="32"/>
    </row>
    <row r="28" s="6" customFormat="1" ht="15.75" thickTop="1">
      <c r="A28" s="33"/>
    </row>
    <row r="38" s="6" customFormat="1" ht="15">
      <c r="A38" s="33"/>
    </row>
    <row r="39" s="6" customFormat="1" ht="15">
      <c r="A39" s="33"/>
    </row>
    <row r="40" s="6" customFormat="1" ht="15">
      <c r="A40" s="33"/>
    </row>
    <row r="41" s="6" customFormat="1" ht="15">
      <c r="A41" s="33"/>
    </row>
    <row r="42" s="6" customFormat="1" ht="15">
      <c r="A42" s="33"/>
    </row>
    <row r="43" s="6" customFormat="1" ht="15">
      <c r="A43" s="33"/>
    </row>
    <row r="44" s="6" customFormat="1" ht="15">
      <c r="A44" s="33"/>
    </row>
    <row r="45" s="6" customFormat="1" ht="15">
      <c r="A45" s="33"/>
    </row>
    <row r="46" s="6" customFormat="1" ht="15">
      <c r="A46" s="33"/>
    </row>
    <row r="47" s="6" customFormat="1" ht="15">
      <c r="A47" s="33"/>
    </row>
    <row r="48" s="6" customFormat="1" ht="15">
      <c r="A48" s="33"/>
    </row>
    <row r="49" s="6" customFormat="1" ht="15">
      <c r="A49" s="33"/>
    </row>
    <row r="50" s="6" customFormat="1" ht="15">
      <c r="A50" s="33"/>
    </row>
    <row r="51" s="6" customFormat="1" ht="15">
      <c r="A51" s="33"/>
    </row>
    <row r="52" s="6" customFormat="1" ht="15">
      <c r="A52" s="33"/>
    </row>
    <row r="53" s="6" customFormat="1" ht="15">
      <c r="A53" s="33"/>
    </row>
    <row r="54" s="6" customFormat="1" ht="15">
      <c r="A54" s="33"/>
    </row>
    <row r="55" s="6" customFormat="1" ht="15">
      <c r="A55" s="33"/>
    </row>
    <row r="56" s="6" customFormat="1" ht="15">
      <c r="A56" s="33"/>
    </row>
    <row r="57" s="6" customFormat="1" ht="15">
      <c r="A57" s="33"/>
    </row>
    <row r="58" s="6" customFormat="1" ht="15">
      <c r="A58" s="33"/>
    </row>
    <row r="59" s="6" customFormat="1" ht="15">
      <c r="A59" s="33"/>
    </row>
    <row r="60" s="6" customFormat="1" ht="15">
      <c r="A60" s="33"/>
    </row>
    <row r="61" s="6" customFormat="1" ht="15">
      <c r="A61" s="33"/>
    </row>
    <row r="62" s="6" customFormat="1" ht="15">
      <c r="A62" s="33"/>
    </row>
    <row r="63" s="6" customFormat="1" ht="15">
      <c r="A63" s="33"/>
    </row>
    <row r="64" s="6" customFormat="1" ht="15">
      <c r="A64" s="33"/>
    </row>
    <row r="65" s="6" customFormat="1" ht="15">
      <c r="A65" s="33"/>
    </row>
    <row r="66" s="6" customFormat="1" ht="15">
      <c r="A66" s="33"/>
    </row>
    <row r="67" s="6" customFormat="1" ht="15">
      <c r="A67" s="33"/>
    </row>
    <row r="68" s="6" customFormat="1" ht="15">
      <c r="A68" s="33"/>
    </row>
    <row r="69" s="6" customFormat="1" ht="15">
      <c r="A69" s="33"/>
    </row>
    <row r="70" s="6" customFormat="1" ht="15">
      <c r="A70" s="33"/>
    </row>
    <row r="71" s="6" customFormat="1" ht="15">
      <c r="A71" s="33"/>
    </row>
    <row r="72" s="6" customFormat="1" ht="15">
      <c r="A72" s="33"/>
    </row>
    <row r="73" s="6" customFormat="1" ht="15">
      <c r="A73" s="33"/>
    </row>
    <row r="74" s="6" customFormat="1" ht="15">
      <c r="A74" s="33"/>
    </row>
    <row r="75" s="6" customFormat="1" ht="15">
      <c r="A75" s="33"/>
    </row>
    <row r="76" s="6" customFormat="1" ht="15">
      <c r="A76" s="33"/>
    </row>
    <row r="77" s="6" customFormat="1" ht="15">
      <c r="A77" s="33"/>
    </row>
    <row r="78" s="6" customFormat="1" ht="15">
      <c r="A78" s="33"/>
    </row>
    <row r="79" s="6" customFormat="1" ht="15">
      <c r="A79" s="33"/>
    </row>
    <row r="80" s="6" customFormat="1" ht="15">
      <c r="A80" s="33"/>
    </row>
    <row r="81" s="6" customFormat="1" ht="15">
      <c r="A81" s="33"/>
    </row>
    <row r="82" s="6" customFormat="1" ht="15">
      <c r="A82" s="33"/>
    </row>
    <row r="83" s="6" customFormat="1" ht="15">
      <c r="A83" s="33"/>
    </row>
    <row r="84" s="6" customFormat="1" ht="15">
      <c r="A84" s="33"/>
    </row>
    <row r="85" s="6" customFormat="1" ht="15">
      <c r="A85" s="33"/>
    </row>
    <row r="86" s="6" customFormat="1" ht="15">
      <c r="A86" s="33"/>
    </row>
    <row r="87" s="6" customFormat="1" ht="15">
      <c r="A87" s="33"/>
    </row>
    <row r="88" s="6" customFormat="1" ht="15">
      <c r="A88" s="33"/>
    </row>
    <row r="89" s="6" customFormat="1" ht="15">
      <c r="A89" s="33"/>
    </row>
    <row r="90" s="6" customFormat="1" ht="15">
      <c r="A90" s="33"/>
    </row>
    <row r="91" s="6" customFormat="1" ht="15">
      <c r="A91" s="33"/>
    </row>
    <row r="92" s="6" customFormat="1" ht="15">
      <c r="A92" s="33"/>
    </row>
    <row r="93" s="6" customFormat="1" ht="15">
      <c r="A93" s="33"/>
    </row>
    <row r="94" s="6" customFormat="1" ht="15">
      <c r="A94" s="33"/>
    </row>
    <row r="95" s="6" customFormat="1" ht="15">
      <c r="A95" s="33"/>
    </row>
    <row r="96" s="6" customFormat="1" ht="15">
      <c r="A96" s="33"/>
    </row>
    <row r="97" s="6" customFormat="1" ht="15">
      <c r="A97" s="33"/>
    </row>
    <row r="98" s="6" customFormat="1" ht="15">
      <c r="A98" s="33"/>
    </row>
    <row r="99" s="6" customFormat="1" ht="15">
      <c r="A99" s="33"/>
    </row>
    <row r="100" s="6" customFormat="1" ht="15">
      <c r="A100" s="33"/>
    </row>
    <row r="101" s="6" customFormat="1" ht="15">
      <c r="A101" s="33"/>
    </row>
    <row r="102" s="6" customFormat="1" ht="15">
      <c r="A102" s="33"/>
    </row>
    <row r="103" s="6" customFormat="1" ht="15">
      <c r="A103" s="33"/>
    </row>
    <row r="104" s="6" customFormat="1" ht="15">
      <c r="A104" s="33"/>
    </row>
    <row r="105" s="6" customFormat="1" ht="15">
      <c r="A105" s="33"/>
    </row>
    <row r="106" s="6" customFormat="1" ht="15">
      <c r="A106" s="33"/>
    </row>
    <row r="107" s="6" customFormat="1" ht="15">
      <c r="A107" s="33"/>
    </row>
    <row r="108" s="6" customFormat="1" ht="15">
      <c r="A108" s="33"/>
    </row>
    <row r="109" s="6" customFormat="1" ht="15">
      <c r="A109" s="33"/>
    </row>
    <row r="110" s="6" customFormat="1" ht="15">
      <c r="A110" s="33"/>
    </row>
    <row r="111" s="6" customFormat="1" ht="15">
      <c r="A111" s="33"/>
    </row>
    <row r="112" s="6" customFormat="1" ht="15">
      <c r="A112" s="33"/>
    </row>
    <row r="113" s="6" customFormat="1" ht="15">
      <c r="A113" s="33"/>
    </row>
    <row r="114" s="6" customFormat="1" ht="15">
      <c r="A114" s="33"/>
    </row>
    <row r="115" s="6" customFormat="1" ht="15">
      <c r="A115" s="33"/>
    </row>
    <row r="116" s="6" customFormat="1" ht="15">
      <c r="A116" s="33"/>
    </row>
    <row r="117" s="6" customFormat="1" ht="15">
      <c r="A117" s="33"/>
    </row>
    <row r="118" s="6" customFormat="1" ht="15">
      <c r="A118" s="33"/>
    </row>
    <row r="119" s="6" customFormat="1" ht="15">
      <c r="A119" s="33"/>
    </row>
    <row r="120" s="6" customFormat="1" ht="15">
      <c r="A120" s="33"/>
    </row>
    <row r="121" s="6" customFormat="1" ht="15">
      <c r="A121" s="33"/>
    </row>
    <row r="122" s="6" customFormat="1" ht="15">
      <c r="A122" s="33"/>
    </row>
    <row r="123" s="6" customFormat="1" ht="15">
      <c r="A123" s="33"/>
    </row>
    <row r="124" s="6" customFormat="1" ht="15">
      <c r="A124" s="33"/>
    </row>
    <row r="125" s="6" customFormat="1" ht="15">
      <c r="A125" s="33"/>
    </row>
    <row r="126" s="6" customFormat="1" ht="15">
      <c r="A126" s="33"/>
    </row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  <row r="245" s="6" customFormat="1" ht="15"/>
    <row r="246" s="6" customFormat="1" ht="15"/>
    <row r="247" s="6" customFormat="1" ht="15"/>
    <row r="248" s="6" customFormat="1" ht="15"/>
    <row r="249" s="6" customFormat="1" ht="15"/>
    <row r="250" s="6" customFormat="1" ht="15"/>
    <row r="251" s="6" customFormat="1" ht="15"/>
    <row r="252" s="6" customFormat="1" ht="15"/>
    <row r="253" s="6" customFormat="1" ht="15"/>
    <row r="254" s="6" customFormat="1" ht="15"/>
    <row r="255" s="6" customFormat="1" ht="15"/>
    <row r="256" s="6" customFormat="1" ht="15"/>
    <row r="257" s="6" customFormat="1" ht="15"/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&amp;Rmhs/bâtiment/&amp;F/&amp;A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7">
      <selection activeCell="C23" sqref="C23"/>
    </sheetView>
  </sheetViews>
  <sheetFormatPr defaultColWidth="11.421875" defaultRowHeight="12.75"/>
  <cols>
    <col min="1" max="1" width="12.28125" style="0" customWidth="1"/>
    <col min="2" max="6" width="11.8515625" style="0" customWidth="1"/>
    <col min="7" max="7" width="13.140625" style="0" bestFit="1" customWidth="1"/>
  </cols>
  <sheetData>
    <row r="1" spans="1:9" ht="15">
      <c r="A1" s="5"/>
      <c r="B1" s="6"/>
      <c r="C1" s="6"/>
      <c r="D1" s="6"/>
      <c r="E1" s="6"/>
      <c r="F1" s="6"/>
      <c r="G1" s="6"/>
      <c r="H1" s="6"/>
      <c r="I1" s="6"/>
    </row>
    <row r="2" spans="1:9" ht="15">
      <c r="A2" s="5"/>
      <c r="B2" s="6"/>
      <c r="C2" s="6"/>
      <c r="D2" s="6"/>
      <c r="E2" s="6"/>
      <c r="F2" s="6"/>
      <c r="G2" s="6"/>
      <c r="H2" s="6"/>
      <c r="I2" s="6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9" ht="15">
      <c r="A4" s="72" t="s">
        <v>59</v>
      </c>
      <c r="B4" s="73"/>
      <c r="C4" s="73"/>
      <c r="D4" s="73"/>
      <c r="E4" s="73"/>
      <c r="F4" s="73"/>
      <c r="G4" s="73"/>
      <c r="H4" s="6"/>
      <c r="I4" s="6"/>
    </row>
    <row r="5" spans="1:9" ht="15">
      <c r="A5" s="73"/>
      <c r="B5" s="73"/>
      <c r="C5" s="73"/>
      <c r="D5" s="73"/>
      <c r="E5" s="73"/>
      <c r="F5" s="73"/>
      <c r="G5" s="73"/>
      <c r="H5" s="6"/>
      <c r="I5" s="6"/>
    </row>
    <row r="6" spans="1:7" ht="15">
      <c r="A6" s="6" t="s">
        <v>1</v>
      </c>
      <c r="B6" s="60"/>
      <c r="C6" s="6"/>
      <c r="D6" s="6"/>
      <c r="E6" s="6"/>
      <c r="F6" s="6"/>
      <c r="G6" s="6"/>
    </row>
    <row r="7" spans="1:9" ht="15">
      <c r="A7" s="6" t="s">
        <v>8</v>
      </c>
      <c r="B7" s="6"/>
      <c r="C7" s="6"/>
      <c r="D7" s="6"/>
      <c r="E7" s="6"/>
      <c r="F7" s="6"/>
      <c r="G7" s="6"/>
      <c r="H7" s="6"/>
      <c r="I7" s="6"/>
    </row>
    <row r="8" spans="1:9" ht="15">
      <c r="A8" s="6" t="s">
        <v>27</v>
      </c>
      <c r="B8" s="6"/>
      <c r="C8" s="6"/>
      <c r="D8" s="6"/>
      <c r="E8" s="6"/>
      <c r="F8" s="6"/>
      <c r="G8" s="6"/>
      <c r="H8" s="6"/>
      <c r="I8" s="6"/>
    </row>
    <row r="9" spans="1:9" ht="15">
      <c r="A9" s="6" t="s">
        <v>29</v>
      </c>
      <c r="B9" s="6"/>
      <c r="C9" s="6"/>
      <c r="D9" s="6"/>
      <c r="E9" s="6"/>
      <c r="F9" s="6"/>
      <c r="G9" s="6"/>
      <c r="H9" s="6"/>
      <c r="I9" s="6"/>
    </row>
    <row r="10" spans="1:9" ht="15">
      <c r="A10" s="6" t="s">
        <v>2</v>
      </c>
      <c r="B10" s="6"/>
      <c r="C10" s="134">
        <v>175</v>
      </c>
      <c r="D10" s="6"/>
      <c r="E10" s="6"/>
      <c r="F10" s="6"/>
      <c r="G10" s="6"/>
      <c r="H10" s="6"/>
      <c r="I10" s="6"/>
    </row>
    <row r="11" spans="1:9" ht="15.75" thickBot="1">
      <c r="A11" s="6"/>
      <c r="B11" s="6"/>
      <c r="C11" s="6"/>
      <c r="D11" s="6"/>
      <c r="E11" s="6"/>
      <c r="F11" s="6"/>
      <c r="G11" s="6"/>
      <c r="H11" s="6"/>
      <c r="I11" s="6"/>
    </row>
    <row r="12" spans="1:9" ht="16.5" thickTop="1">
      <c r="A12" s="8" t="s">
        <v>3</v>
      </c>
      <c r="B12" s="10" t="s">
        <v>4</v>
      </c>
      <c r="C12" s="10" t="s">
        <v>5</v>
      </c>
      <c r="D12" s="10" t="s">
        <v>6</v>
      </c>
      <c r="E12" s="10" t="s">
        <v>7</v>
      </c>
      <c r="F12" s="10" t="s">
        <v>0</v>
      </c>
      <c r="G12" s="112" t="s">
        <v>28</v>
      </c>
      <c r="H12" s="74" t="s">
        <v>9</v>
      </c>
      <c r="I12" s="11" t="s">
        <v>37</v>
      </c>
    </row>
    <row r="13" spans="1:9" ht="15">
      <c r="A13" s="12"/>
      <c r="B13" s="14"/>
      <c r="C13" s="14"/>
      <c r="D13" s="14"/>
      <c r="E13" s="14"/>
      <c r="F13" s="139"/>
      <c r="G13" s="14"/>
      <c r="H13" s="75"/>
      <c r="I13" s="16"/>
    </row>
    <row r="14" spans="1:9" ht="15">
      <c r="A14" s="76"/>
      <c r="B14" s="50"/>
      <c r="C14" s="50"/>
      <c r="D14" s="50"/>
      <c r="E14" s="50"/>
      <c r="F14" s="50"/>
      <c r="G14" s="50"/>
      <c r="H14" s="75"/>
      <c r="I14" s="16"/>
    </row>
    <row r="15" spans="1:9" ht="15">
      <c r="A15" s="76" t="s">
        <v>10</v>
      </c>
      <c r="B15" s="77">
        <v>6957</v>
      </c>
      <c r="C15" s="77">
        <v>20259</v>
      </c>
      <c r="D15" s="77">
        <v>6971</v>
      </c>
      <c r="E15" s="77">
        <f aca="true" t="shared" si="0" ref="E15:E20">SUM(B15:D15)</f>
        <v>34187</v>
      </c>
      <c r="F15" s="78">
        <v>5471.06</v>
      </c>
      <c r="G15" s="78">
        <f>305.51*19.6%+305.51</f>
        <v>365.38996</v>
      </c>
      <c r="H15" s="79">
        <v>210</v>
      </c>
      <c r="I15" s="80">
        <f>SUM(F15/E15)</f>
        <v>0.16003334600871677</v>
      </c>
    </row>
    <row r="16" spans="1:9" ht="15">
      <c r="A16" s="76" t="s">
        <v>11</v>
      </c>
      <c r="B16" s="77">
        <v>4430</v>
      </c>
      <c r="C16" s="77">
        <v>12966</v>
      </c>
      <c r="D16" s="77">
        <v>5721</v>
      </c>
      <c r="E16" s="77">
        <f t="shared" si="0"/>
        <v>23117</v>
      </c>
      <c r="F16" s="78">
        <v>3545.93</v>
      </c>
      <c r="G16" s="78">
        <f>41.46*19.6%+41.46</f>
        <v>49.58616</v>
      </c>
      <c r="H16" s="79">
        <v>182</v>
      </c>
      <c r="I16" s="80">
        <f aca="true" t="shared" si="1" ref="I16:I26">SUM(F16/E16)</f>
        <v>0.15339057836224423</v>
      </c>
    </row>
    <row r="17" spans="1:9" ht="15">
      <c r="A17" s="76" t="s">
        <v>12</v>
      </c>
      <c r="B17" s="77"/>
      <c r="C17" s="77">
        <v>28109</v>
      </c>
      <c r="D17" s="77">
        <v>6734</v>
      </c>
      <c r="E17" s="77">
        <f t="shared" si="0"/>
        <v>34843</v>
      </c>
      <c r="F17" s="78">
        <v>4252.27</v>
      </c>
      <c r="G17" s="78">
        <f>45.18*19.6%+45.18</f>
        <v>54.03528</v>
      </c>
      <c r="H17" s="79">
        <v>185</v>
      </c>
      <c r="I17" s="80">
        <f t="shared" si="1"/>
        <v>0.12204086904112736</v>
      </c>
    </row>
    <row r="18" spans="1:9" ht="15">
      <c r="A18" s="76" t="s">
        <v>13</v>
      </c>
      <c r="B18" s="77"/>
      <c r="C18" s="77">
        <v>16843</v>
      </c>
      <c r="D18" s="77">
        <v>5846</v>
      </c>
      <c r="E18" s="77">
        <f t="shared" si="0"/>
        <v>22689</v>
      </c>
      <c r="F18" s="78">
        <v>1289.59</v>
      </c>
      <c r="G18" s="78">
        <f>2.5*19.6%+2.5</f>
        <v>2.99</v>
      </c>
      <c r="H18" s="79">
        <v>180</v>
      </c>
      <c r="I18" s="80">
        <f t="shared" si="1"/>
        <v>0.05683767464410066</v>
      </c>
    </row>
    <row r="19" spans="1:9" ht="15">
      <c r="A19" s="76" t="s">
        <v>14</v>
      </c>
      <c r="B19" s="77"/>
      <c r="C19" s="77">
        <v>22113</v>
      </c>
      <c r="D19" s="77">
        <v>5455</v>
      </c>
      <c r="E19" s="77">
        <f t="shared" si="0"/>
        <v>27568</v>
      </c>
      <c r="F19" s="78">
        <v>1509</v>
      </c>
      <c r="G19" s="78">
        <f>5*19.6%+5</f>
        <v>5.98</v>
      </c>
      <c r="H19" s="162">
        <v>182</v>
      </c>
      <c r="I19" s="80">
        <f t="shared" si="1"/>
        <v>0.054737376668601276</v>
      </c>
    </row>
    <row r="20" spans="1:9" ht="15">
      <c r="A20" s="76" t="s">
        <v>15</v>
      </c>
      <c r="B20" s="77"/>
      <c r="C20" s="77">
        <v>14754</v>
      </c>
      <c r="D20" s="77">
        <v>4759</v>
      </c>
      <c r="E20" s="77">
        <f t="shared" si="0"/>
        <v>19513</v>
      </c>
      <c r="F20" s="78">
        <v>1163.56</v>
      </c>
      <c r="G20" s="78"/>
      <c r="H20" s="156">
        <v>141</v>
      </c>
      <c r="I20" s="80">
        <f t="shared" si="1"/>
        <v>0.05962999026290165</v>
      </c>
    </row>
    <row r="21" spans="1:9" ht="15">
      <c r="A21" s="76" t="s">
        <v>16</v>
      </c>
      <c r="B21" s="77"/>
      <c r="C21" s="77">
        <v>6453</v>
      </c>
      <c r="D21" s="77">
        <v>3607</v>
      </c>
      <c r="E21" s="77">
        <f aca="true" t="shared" si="2" ref="E21:E26">SUM(B21:D21)</f>
        <v>10060</v>
      </c>
      <c r="F21" s="78">
        <v>771.49</v>
      </c>
      <c r="G21" s="78"/>
      <c r="H21" s="81">
        <v>72</v>
      </c>
      <c r="I21" s="80">
        <f t="shared" si="1"/>
        <v>0.07668886679920477</v>
      </c>
    </row>
    <row r="22" spans="1:9" ht="15">
      <c r="A22" s="76" t="s">
        <v>17</v>
      </c>
      <c r="B22" s="77"/>
      <c r="C22" s="77">
        <v>6184</v>
      </c>
      <c r="D22" s="77">
        <v>3792</v>
      </c>
      <c r="E22" s="77">
        <f t="shared" si="2"/>
        <v>9976</v>
      </c>
      <c r="F22" s="78">
        <v>772.64</v>
      </c>
      <c r="G22" s="78"/>
      <c r="H22" s="81">
        <v>89</v>
      </c>
      <c r="I22" s="80">
        <f t="shared" si="1"/>
        <v>0.07744987971130714</v>
      </c>
    </row>
    <row r="23" spans="1:9" ht="15">
      <c r="A23" s="76" t="s">
        <v>18</v>
      </c>
      <c r="B23" s="77"/>
      <c r="C23" s="77"/>
      <c r="D23" s="77"/>
      <c r="E23" s="77">
        <f t="shared" si="2"/>
        <v>0</v>
      </c>
      <c r="F23" s="78"/>
      <c r="G23" s="78"/>
      <c r="H23" s="81"/>
      <c r="I23" s="80" t="e">
        <f t="shared" si="1"/>
        <v>#DIV/0!</v>
      </c>
    </row>
    <row r="24" spans="1:9" ht="15">
      <c r="A24" s="76" t="s">
        <v>19</v>
      </c>
      <c r="B24" s="77"/>
      <c r="C24" s="77"/>
      <c r="D24" s="77"/>
      <c r="E24" s="77">
        <f t="shared" si="2"/>
        <v>0</v>
      </c>
      <c r="F24" s="78"/>
      <c r="G24" s="78"/>
      <c r="H24" s="81"/>
      <c r="I24" s="80" t="e">
        <f t="shared" si="1"/>
        <v>#DIV/0!</v>
      </c>
    </row>
    <row r="25" spans="1:9" ht="15">
      <c r="A25" s="76" t="s">
        <v>20</v>
      </c>
      <c r="B25" s="77"/>
      <c r="C25" s="77"/>
      <c r="D25" s="77"/>
      <c r="E25" s="77">
        <f t="shared" si="2"/>
        <v>0</v>
      </c>
      <c r="F25" s="78"/>
      <c r="G25" s="78"/>
      <c r="H25" s="79"/>
      <c r="I25" s="80" t="e">
        <f t="shared" si="1"/>
        <v>#DIV/0!</v>
      </c>
    </row>
    <row r="26" spans="1:9" ht="15">
      <c r="A26" s="76" t="s">
        <v>21</v>
      </c>
      <c r="B26" s="77"/>
      <c r="C26" s="77"/>
      <c r="D26" s="77"/>
      <c r="E26" s="77">
        <f t="shared" si="2"/>
        <v>0</v>
      </c>
      <c r="F26" s="78"/>
      <c r="G26" s="78"/>
      <c r="H26" s="79"/>
      <c r="I26" s="80" t="e">
        <f t="shared" si="1"/>
        <v>#DIV/0!</v>
      </c>
    </row>
    <row r="27" spans="1:9" ht="15">
      <c r="A27" s="76"/>
      <c r="B27" s="77"/>
      <c r="C27" s="77"/>
      <c r="D27" s="77"/>
      <c r="E27" s="77"/>
      <c r="F27" s="78"/>
      <c r="G27" s="78"/>
      <c r="H27" s="75"/>
      <c r="I27" s="16"/>
    </row>
    <row r="28" spans="1:9" ht="15.75" thickBot="1">
      <c r="A28" s="82" t="s">
        <v>22</v>
      </c>
      <c r="B28" s="83">
        <f>SUM(B15:B26)</f>
        <v>11387</v>
      </c>
      <c r="C28" s="83">
        <f>SUM(C15:C26)</f>
        <v>127681</v>
      </c>
      <c r="D28" s="83">
        <f>SUM(D15:D26)</f>
        <v>42885</v>
      </c>
      <c r="E28" s="83">
        <f>SUM(E15:E26)</f>
        <v>181953</v>
      </c>
      <c r="F28" s="84">
        <f>SUM(F15:F27)</f>
        <v>18775.54</v>
      </c>
      <c r="G28" s="85">
        <f>SUM(G15:G27)</f>
        <v>477.9814</v>
      </c>
      <c r="H28" s="62"/>
      <c r="I28" s="32"/>
    </row>
    <row r="29" spans="1:9" ht="15.75" thickTop="1">
      <c r="A29" s="86"/>
      <c r="B29" s="87"/>
      <c r="C29" s="87"/>
      <c r="D29" s="87"/>
      <c r="E29" s="87"/>
      <c r="F29" s="88"/>
      <c r="G29" s="89"/>
      <c r="H29" s="90"/>
      <c r="I29" s="6"/>
    </row>
    <row r="30" spans="1:9" ht="15">
      <c r="A30" s="86"/>
      <c r="B30" s="87" t="s">
        <v>23</v>
      </c>
      <c r="C30" s="87"/>
      <c r="D30" s="91">
        <f>SUM(F28/E28)</f>
        <v>0.10318895538957863</v>
      </c>
      <c r="E30" s="87"/>
      <c r="F30" s="88"/>
      <c r="G30" s="89"/>
      <c r="H30" s="90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/>
      <c r="H32" s="6"/>
      <c r="I32" s="6"/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&amp;Rmhs/bâtiment/&amp;F/&amp;A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Zeros="0" workbookViewId="0" topLeftCell="A1">
      <selection activeCell="A1" sqref="A1:A2"/>
    </sheetView>
  </sheetViews>
  <sheetFormatPr defaultColWidth="11.421875" defaultRowHeight="12.75"/>
  <cols>
    <col min="1" max="1" width="12.7109375" style="6" customWidth="1"/>
    <col min="2" max="3" width="12.00390625" style="6" customWidth="1"/>
    <col min="4" max="7" width="12.8515625" style="6" customWidth="1"/>
    <col min="8" max="8" width="16.00390625" style="6" customWidth="1"/>
    <col min="9" max="9" width="16.28125" style="6" customWidth="1"/>
    <col min="10" max="10" width="14.8515625" style="6" bestFit="1" customWidth="1"/>
    <col min="11" max="13" width="12.421875" style="37" bestFit="1" customWidth="1"/>
    <col min="14" max="14" width="12.00390625" style="35" customWidth="1"/>
    <col min="15" max="15" width="13.7109375" style="6" bestFit="1" customWidth="1"/>
    <col min="16" max="16384" width="12.00390625" style="6" customWidth="1"/>
  </cols>
  <sheetData>
    <row r="1" ht="15">
      <c r="A1" s="5"/>
    </row>
    <row r="2" spans="1:5" ht="15">
      <c r="A2" s="38"/>
      <c r="E2" s="6" t="s">
        <v>60</v>
      </c>
    </row>
    <row r="3" spans="3:8" ht="15">
      <c r="C3"/>
      <c r="D3" s="154"/>
      <c r="E3" s="154"/>
      <c r="F3" s="154"/>
      <c r="G3" s="154"/>
      <c r="H3" s="154"/>
    </row>
    <row r="4" ht="15.75" thickBot="1"/>
    <row r="5" spans="1:14" ht="16.5" thickBot="1" thickTop="1">
      <c r="A5" s="163" t="s">
        <v>53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5"/>
    </row>
    <row r="6" ht="16.5" thickBot="1" thickTop="1"/>
    <row r="7" spans="2:18" ht="16.5" thickBot="1" thickTop="1">
      <c r="B7" s="130" t="s">
        <v>52</v>
      </c>
      <c r="C7" s="160" t="s">
        <v>54</v>
      </c>
      <c r="D7" s="40" t="s">
        <v>30</v>
      </c>
      <c r="E7" s="130" t="s">
        <v>52</v>
      </c>
      <c r="F7" s="160" t="s">
        <v>54</v>
      </c>
      <c r="G7" s="40" t="s">
        <v>30</v>
      </c>
      <c r="H7" s="130" t="s">
        <v>52</v>
      </c>
      <c r="I7" s="160" t="s">
        <v>54</v>
      </c>
      <c r="J7" s="39" t="s">
        <v>30</v>
      </c>
      <c r="K7" s="130" t="s">
        <v>52</v>
      </c>
      <c r="L7" s="160" t="s">
        <v>54</v>
      </c>
      <c r="M7" s="41" t="s">
        <v>30</v>
      </c>
      <c r="N7" s="42" t="s">
        <v>41</v>
      </c>
      <c r="O7" s="130" t="s">
        <v>52</v>
      </c>
      <c r="P7" s="160" t="s">
        <v>54</v>
      </c>
      <c r="Q7" s="41" t="s">
        <v>30</v>
      </c>
      <c r="R7" s="42" t="s">
        <v>41</v>
      </c>
    </row>
    <row r="8" spans="1:18" ht="15.75" thickTop="1">
      <c r="A8" s="8" t="s">
        <v>3</v>
      </c>
      <c r="B8" s="166" t="s">
        <v>25</v>
      </c>
      <c r="C8" s="166"/>
      <c r="D8" s="166"/>
      <c r="E8" s="166" t="s">
        <v>7</v>
      </c>
      <c r="F8" s="166"/>
      <c r="G8" s="166"/>
      <c r="H8" s="166" t="s">
        <v>34</v>
      </c>
      <c r="I8" s="166"/>
      <c r="J8" s="170"/>
      <c r="K8" s="167" t="s">
        <v>40</v>
      </c>
      <c r="L8" s="168"/>
      <c r="M8" s="168"/>
      <c r="N8" s="169"/>
      <c r="O8" s="167" t="s">
        <v>51</v>
      </c>
      <c r="P8" s="168"/>
      <c r="Q8" s="168"/>
      <c r="R8" s="169"/>
    </row>
    <row r="9" spans="1:18" ht="15">
      <c r="A9" s="12"/>
      <c r="B9" s="13"/>
      <c r="D9" s="136"/>
      <c r="E9" s="139"/>
      <c r="G9" s="43"/>
      <c r="H9" s="43"/>
      <c r="I9" s="43"/>
      <c r="J9" s="44"/>
      <c r="K9" s="45"/>
      <c r="L9" s="46"/>
      <c r="M9" s="47"/>
      <c r="N9" s="48"/>
      <c r="O9" s="145"/>
      <c r="P9" s="77"/>
      <c r="Q9" s="81"/>
      <c r="R9" s="48"/>
    </row>
    <row r="10" spans="1:18" ht="15">
      <c r="A10" s="49"/>
      <c r="B10" s="13"/>
      <c r="D10" s="75"/>
      <c r="E10" s="14"/>
      <c r="G10" s="50"/>
      <c r="H10" s="50"/>
      <c r="I10" s="50"/>
      <c r="J10" s="44"/>
      <c r="K10" s="45"/>
      <c r="L10" s="46"/>
      <c r="M10" s="47"/>
      <c r="N10" s="48"/>
      <c r="O10" s="145"/>
      <c r="P10" s="77"/>
      <c r="Q10" s="81"/>
      <c r="R10" s="48"/>
    </row>
    <row r="11" spans="1:18" ht="15">
      <c r="A11" s="19" t="s">
        <v>10</v>
      </c>
      <c r="B11" s="20">
        <v>17443</v>
      </c>
      <c r="C11" s="20">
        <f>+gaz!B13</f>
        <v>12208</v>
      </c>
      <c r="D11" s="116">
        <f>SUM(C11-B11)</f>
        <v>-5235</v>
      </c>
      <c r="E11" s="21">
        <v>205252</v>
      </c>
      <c r="F11" s="20">
        <f>gaz!C13</f>
        <v>144482</v>
      </c>
      <c r="G11" s="116">
        <f>SUM(F11-E11)</f>
        <v>-60770</v>
      </c>
      <c r="H11" s="51">
        <v>8147.71</v>
      </c>
      <c r="I11" s="51">
        <f>SUM(gaz!D13)</f>
        <v>6116.21</v>
      </c>
      <c r="J11" s="114">
        <f>SUM(I11-H11)</f>
        <v>-2031.5</v>
      </c>
      <c r="K11" s="45">
        <f>SUM(H11/B11)</f>
        <v>0.4671048558160867</v>
      </c>
      <c r="L11" s="46">
        <f>SUM(I11/C11)</f>
        <v>0.5010001638269987</v>
      </c>
      <c r="M11" s="47">
        <f>SUM(L11-K11)</f>
        <v>0.03389530801091206</v>
      </c>
      <c r="N11" s="48">
        <f>M11/K11</f>
        <v>0.07256466634604558</v>
      </c>
      <c r="O11" s="97">
        <f>H11/E11</f>
        <v>0.03969612963576482</v>
      </c>
      <c r="P11" s="98">
        <f>I11/F11</f>
        <v>0.04233198599133456</v>
      </c>
      <c r="Q11" s="99">
        <f>SUM(P11-O11)</f>
        <v>0.0026358563555697392</v>
      </c>
      <c r="R11" s="48">
        <f>Q11/O11</f>
        <v>0.0664008400757268</v>
      </c>
    </row>
    <row r="12" spans="1:18" ht="15">
      <c r="A12" s="19" t="s">
        <v>11</v>
      </c>
      <c r="B12" s="157">
        <v>18738</v>
      </c>
      <c r="C12" s="157">
        <f>SUM(gaz!B14)</f>
        <v>11656</v>
      </c>
      <c r="D12" s="116">
        <f aca="true" t="shared" si="0" ref="D12:D22">SUM(C12-B12)</f>
        <v>-7082</v>
      </c>
      <c r="E12" s="140">
        <v>221596</v>
      </c>
      <c r="F12" s="20">
        <f>gaz!C14</f>
        <v>138835</v>
      </c>
      <c r="G12" s="116">
        <f aca="true" t="shared" si="1" ref="G12:G22">SUM(F12-E12)</f>
        <v>-82761</v>
      </c>
      <c r="H12" s="51">
        <v>8791.22</v>
      </c>
      <c r="I12" s="51">
        <f>SUM(gaz!D14)</f>
        <v>5879.76</v>
      </c>
      <c r="J12" s="114">
        <f aca="true" t="shared" si="2" ref="J12:J22">SUM(I12-H12)</f>
        <v>-2911.459999999999</v>
      </c>
      <c r="K12" s="45">
        <f aca="true" t="shared" si="3" ref="K12:K24">SUM(H12/B12)</f>
        <v>0.46916533247945347</v>
      </c>
      <c r="L12" s="46">
        <f aca="true" t="shared" si="4" ref="L12:L24">SUM(I12/C12)</f>
        <v>0.5044406314344544</v>
      </c>
      <c r="M12" s="47">
        <f aca="true" t="shared" si="5" ref="M12:M24">SUM(L12-K12)</f>
        <v>0.03527529895500092</v>
      </c>
      <c r="N12" s="48">
        <f aca="true" t="shared" si="6" ref="N12:N23">M12/K12</f>
        <v>0.07518735190551566</v>
      </c>
      <c r="O12" s="97">
        <f aca="true" t="shared" si="7" ref="O12:O22">H12/E12</f>
        <v>0.03967228650336648</v>
      </c>
      <c r="P12" s="98">
        <f aca="true" t="shared" si="8" ref="P12:P22">I12/F12</f>
        <v>0.042350704073180395</v>
      </c>
      <c r="Q12" s="99">
        <f aca="true" t="shared" si="9" ref="Q12:Q23">SUM(P12-O12)</f>
        <v>0.0026784175698139137</v>
      </c>
      <c r="R12" s="48">
        <f aca="true" t="shared" si="10" ref="R12:R23">Q12/O12</f>
        <v>0.06751356692250723</v>
      </c>
    </row>
    <row r="13" spans="1:18" ht="15">
      <c r="A13" s="19" t="s">
        <v>12</v>
      </c>
      <c r="B13" s="157">
        <v>16002</v>
      </c>
      <c r="C13" s="157">
        <f>SUM(gaz!B15)</f>
        <v>14160</v>
      </c>
      <c r="D13" s="116">
        <f t="shared" si="0"/>
        <v>-1842</v>
      </c>
      <c r="E13" s="140">
        <v>190088</v>
      </c>
      <c r="F13" s="20">
        <f>gaz!C15</f>
        <v>168646</v>
      </c>
      <c r="G13" s="116">
        <f t="shared" si="1"/>
        <v>-21442</v>
      </c>
      <c r="H13" s="51">
        <v>7550.67</v>
      </c>
      <c r="I13" s="51">
        <f>SUM(gaz!D15)</f>
        <v>7128.01</v>
      </c>
      <c r="J13" s="114">
        <f t="shared" si="2"/>
        <v>-422.65999999999985</v>
      </c>
      <c r="K13" s="45">
        <f t="shared" si="3"/>
        <v>0.47185789276340456</v>
      </c>
      <c r="L13" s="46">
        <f t="shared" si="4"/>
        <v>0.5033905367231638</v>
      </c>
      <c r="M13" s="47">
        <f t="shared" si="5"/>
        <v>0.03153264395975924</v>
      </c>
      <c r="N13" s="48">
        <f t="shared" si="6"/>
        <v>0.06682656885336896</v>
      </c>
      <c r="O13" s="97">
        <f t="shared" si="7"/>
        <v>0.039721970876646605</v>
      </c>
      <c r="P13" s="98">
        <f t="shared" si="8"/>
        <v>0.04226610770489665</v>
      </c>
      <c r="Q13" s="99">
        <f t="shared" si="9"/>
        <v>0.0025441368282500473</v>
      </c>
      <c r="R13" s="48">
        <f t="shared" si="10"/>
        <v>0.06404860514476132</v>
      </c>
    </row>
    <row r="14" spans="1:18" ht="15">
      <c r="A14" s="19" t="s">
        <v>13</v>
      </c>
      <c r="B14" s="157">
        <v>9683</v>
      </c>
      <c r="C14" s="161">
        <f>SUM(gaz!B16)</f>
        <v>325</v>
      </c>
      <c r="D14" s="116">
        <f t="shared" si="0"/>
        <v>-9358</v>
      </c>
      <c r="E14" s="140">
        <v>115625</v>
      </c>
      <c r="F14" s="20">
        <f>gaz!C16</f>
        <v>4611</v>
      </c>
      <c r="G14" s="116">
        <f t="shared" si="1"/>
        <v>-111014</v>
      </c>
      <c r="H14" s="51">
        <v>3876.44</v>
      </c>
      <c r="I14" s="51">
        <f>SUM(gaz!D16)</f>
        <v>1756.25</v>
      </c>
      <c r="J14" s="114">
        <f t="shared" si="2"/>
        <v>-2120.19</v>
      </c>
      <c r="K14" s="45">
        <f t="shared" si="3"/>
        <v>0.40033460704327173</v>
      </c>
      <c r="L14" s="46">
        <f t="shared" si="4"/>
        <v>5.403846153846154</v>
      </c>
      <c r="M14" s="47">
        <f t="shared" si="5"/>
        <v>5.003511546802883</v>
      </c>
      <c r="N14" s="48">
        <f t="shared" si="6"/>
        <v>12.498323799076552</v>
      </c>
      <c r="O14" s="97">
        <f t="shared" si="7"/>
        <v>0.033525967567567566</v>
      </c>
      <c r="P14" s="98">
        <f t="shared" si="8"/>
        <v>0.38088267187161134</v>
      </c>
      <c r="Q14" s="99">
        <f t="shared" si="9"/>
        <v>0.34735670430404375</v>
      </c>
      <c r="R14" s="48">
        <f t="shared" si="10"/>
        <v>10.360825637738508</v>
      </c>
    </row>
    <row r="15" spans="1:18" ht="15">
      <c r="A15" s="19" t="s">
        <v>14</v>
      </c>
      <c r="B15" s="157">
        <v>526</v>
      </c>
      <c r="C15" s="158">
        <f>SUM(gaz!B17)</f>
        <v>752</v>
      </c>
      <c r="D15" s="137">
        <f t="shared" si="0"/>
        <v>226</v>
      </c>
      <c r="E15" s="140">
        <v>6227</v>
      </c>
      <c r="F15" s="116">
        <f>gaz!C17</f>
        <v>8986</v>
      </c>
      <c r="G15" s="117">
        <f t="shared" si="1"/>
        <v>2759</v>
      </c>
      <c r="H15" s="51">
        <v>272.34</v>
      </c>
      <c r="I15" s="51">
        <f>SUM(gaz!D17)</f>
        <v>385.56</v>
      </c>
      <c r="J15" s="114">
        <f t="shared" si="2"/>
        <v>113.22000000000003</v>
      </c>
      <c r="K15" s="45">
        <f t="shared" si="3"/>
        <v>0.5177566539923953</v>
      </c>
      <c r="L15" s="46">
        <f t="shared" si="4"/>
        <v>0.5127127659574469</v>
      </c>
      <c r="M15" s="47">
        <f t="shared" si="5"/>
        <v>-0.005043888034948485</v>
      </c>
      <c r="N15" s="48">
        <f t="shared" si="6"/>
        <v>-0.009741812096581124</v>
      </c>
      <c r="O15" s="97">
        <f t="shared" si="7"/>
        <v>0.04373534607355066</v>
      </c>
      <c r="P15" s="98">
        <f t="shared" si="8"/>
        <v>0.04290674382372579</v>
      </c>
      <c r="Q15" s="99">
        <f t="shared" si="9"/>
        <v>-0.0008286022498248669</v>
      </c>
      <c r="R15" s="48">
        <f t="shared" si="10"/>
        <v>-0.01894582584144616</v>
      </c>
    </row>
    <row r="16" spans="1:18" ht="15">
      <c r="A16" s="19" t="s">
        <v>15</v>
      </c>
      <c r="B16" s="157">
        <v>524</v>
      </c>
      <c r="C16" s="157">
        <f>SUM(gaz!B18)</f>
        <v>464</v>
      </c>
      <c r="D16" s="116">
        <f t="shared" si="0"/>
        <v>-60</v>
      </c>
      <c r="E16" s="140">
        <v>6197</v>
      </c>
      <c r="F16" s="20">
        <f>gaz!C18</f>
        <v>5527</v>
      </c>
      <c r="G16" s="116">
        <f t="shared" si="1"/>
        <v>-670</v>
      </c>
      <c r="H16" s="51">
        <v>273.55</v>
      </c>
      <c r="I16" s="51">
        <f>SUM(gaz!D18)</f>
        <v>262.72</v>
      </c>
      <c r="J16" s="114">
        <f t="shared" si="2"/>
        <v>-10.829999999999984</v>
      </c>
      <c r="K16" s="45">
        <f t="shared" si="3"/>
        <v>0.5220419847328245</v>
      </c>
      <c r="L16" s="46">
        <f t="shared" si="4"/>
        <v>0.5662068965517242</v>
      </c>
      <c r="M16" s="47">
        <f t="shared" si="5"/>
        <v>0.0441649118188997</v>
      </c>
      <c r="N16" s="48">
        <f t="shared" si="6"/>
        <v>0.08460030631732203</v>
      </c>
      <c r="O16" s="97">
        <f t="shared" si="7"/>
        <v>0.04414232693238664</v>
      </c>
      <c r="P16" s="98">
        <f t="shared" si="8"/>
        <v>0.04753392437126833</v>
      </c>
      <c r="Q16" s="99">
        <f t="shared" si="9"/>
        <v>0.003391597438881684</v>
      </c>
      <c r="R16" s="48">
        <f t="shared" si="10"/>
        <v>0.07683322730305171</v>
      </c>
    </row>
    <row r="17" spans="1:18" ht="15">
      <c r="A17" s="19" t="s">
        <v>16</v>
      </c>
      <c r="B17" s="157">
        <v>145</v>
      </c>
      <c r="C17" s="157">
        <f>SUM(gaz!B19)</f>
        <v>118</v>
      </c>
      <c r="D17" s="116">
        <f t="shared" si="0"/>
        <v>-27</v>
      </c>
      <c r="E17" s="140">
        <v>1734</v>
      </c>
      <c r="F17" s="20">
        <f>gaz!C19</f>
        <v>1413</v>
      </c>
      <c r="G17" s="116">
        <f t="shared" si="1"/>
        <v>-321</v>
      </c>
      <c r="H17" s="51">
        <v>127.55</v>
      </c>
      <c r="I17" s="51">
        <f>SUM(gaz!D19)</f>
        <v>116.64</v>
      </c>
      <c r="J17" s="114">
        <f t="shared" si="2"/>
        <v>-10.909999999999997</v>
      </c>
      <c r="K17" s="45">
        <f t="shared" si="3"/>
        <v>0.8796551724137931</v>
      </c>
      <c r="L17" s="46">
        <f t="shared" si="4"/>
        <v>0.9884745762711864</v>
      </c>
      <c r="M17" s="47">
        <f t="shared" si="5"/>
        <v>0.1088194038573933</v>
      </c>
      <c r="N17" s="48">
        <f t="shared" si="6"/>
        <v>0.12370688796018839</v>
      </c>
      <c r="O17" s="97">
        <f t="shared" si="7"/>
        <v>0.07355824682814302</v>
      </c>
      <c r="P17" s="98">
        <f t="shared" si="8"/>
        <v>0.08254777070063694</v>
      </c>
      <c r="Q17" s="99">
        <f t="shared" si="9"/>
        <v>0.008989523872493924</v>
      </c>
      <c r="R17" s="48">
        <f t="shared" si="10"/>
        <v>0.12220959933284566</v>
      </c>
    </row>
    <row r="18" spans="1:18" ht="15">
      <c r="A18" s="19" t="s">
        <v>17</v>
      </c>
      <c r="B18" s="157">
        <v>29</v>
      </c>
      <c r="C18" s="157">
        <f>SUM(gaz!B20)</f>
        <v>0</v>
      </c>
      <c r="D18" s="116">
        <f t="shared" si="0"/>
        <v>-29</v>
      </c>
      <c r="E18" s="140">
        <v>342</v>
      </c>
      <c r="F18" s="20">
        <f>gaz!C20</f>
        <v>0</v>
      </c>
      <c r="G18" s="116">
        <f t="shared" si="1"/>
        <v>-342</v>
      </c>
      <c r="H18" s="51">
        <v>78.62</v>
      </c>
      <c r="I18" s="51">
        <f>SUM(gaz!D20)</f>
        <v>0</v>
      </c>
      <c r="J18" s="114">
        <f t="shared" si="2"/>
        <v>-78.62</v>
      </c>
      <c r="K18" s="45">
        <f t="shared" si="3"/>
        <v>2.711034482758621</v>
      </c>
      <c r="L18" s="46" t="e">
        <f t="shared" si="4"/>
        <v>#DIV/0!</v>
      </c>
      <c r="M18" s="47" t="e">
        <f t="shared" si="5"/>
        <v>#DIV/0!</v>
      </c>
      <c r="N18" s="48" t="e">
        <f t="shared" si="6"/>
        <v>#DIV/0!</v>
      </c>
      <c r="O18" s="97">
        <f t="shared" si="7"/>
        <v>0.22988304093567252</v>
      </c>
      <c r="P18" s="98" t="e">
        <f t="shared" si="8"/>
        <v>#DIV/0!</v>
      </c>
      <c r="Q18" s="99" t="e">
        <f t="shared" si="9"/>
        <v>#DIV/0!</v>
      </c>
      <c r="R18" s="48" t="e">
        <f t="shared" si="10"/>
        <v>#DIV/0!</v>
      </c>
    </row>
    <row r="19" spans="1:18" ht="15">
      <c r="A19" s="19" t="s">
        <v>18</v>
      </c>
      <c r="B19" s="157">
        <v>557</v>
      </c>
      <c r="C19" s="157">
        <f>SUM(gaz!B21)</f>
        <v>0</v>
      </c>
      <c r="D19" s="116">
        <f t="shared" si="0"/>
        <v>-557</v>
      </c>
      <c r="E19" s="140">
        <v>6647</v>
      </c>
      <c r="F19" s="20">
        <f>gaz!C21</f>
        <v>0</v>
      </c>
      <c r="G19" s="116">
        <f t="shared" si="1"/>
        <v>-6647</v>
      </c>
      <c r="H19" s="51">
        <v>302.5</v>
      </c>
      <c r="I19" s="51">
        <f>SUM(gaz!D21)</f>
        <v>0</v>
      </c>
      <c r="J19" s="114">
        <f t="shared" si="2"/>
        <v>-302.5</v>
      </c>
      <c r="K19" s="45">
        <f t="shared" si="3"/>
        <v>0.5430879712746858</v>
      </c>
      <c r="L19" s="46" t="e">
        <f t="shared" si="4"/>
        <v>#DIV/0!</v>
      </c>
      <c r="M19" s="47" t="e">
        <f t="shared" si="5"/>
        <v>#DIV/0!</v>
      </c>
      <c r="N19" s="48" t="e">
        <f t="shared" si="6"/>
        <v>#DIV/0!</v>
      </c>
      <c r="O19" s="97">
        <f t="shared" si="7"/>
        <v>0.04550925229426809</v>
      </c>
      <c r="P19" s="98" t="e">
        <f t="shared" si="8"/>
        <v>#DIV/0!</v>
      </c>
      <c r="Q19" s="99" t="e">
        <f t="shared" si="9"/>
        <v>#DIV/0!</v>
      </c>
      <c r="R19" s="48" t="e">
        <f t="shared" si="10"/>
        <v>#DIV/0!</v>
      </c>
    </row>
    <row r="20" spans="1:18" ht="15">
      <c r="A20" s="19" t="s">
        <v>19</v>
      </c>
      <c r="B20" s="157">
        <v>934</v>
      </c>
      <c r="C20" s="157">
        <f>SUM(gaz!B22)</f>
        <v>0</v>
      </c>
      <c r="D20" s="116">
        <f t="shared" si="0"/>
        <v>-934</v>
      </c>
      <c r="E20" s="140">
        <v>11060</v>
      </c>
      <c r="F20" s="20">
        <f>gaz!C22</f>
        <v>0</v>
      </c>
      <c r="G20" s="116">
        <f t="shared" si="1"/>
        <v>-11060</v>
      </c>
      <c r="H20" s="51">
        <v>459.21</v>
      </c>
      <c r="I20" s="51">
        <f>SUM(gaz!D22)</f>
        <v>0</v>
      </c>
      <c r="J20" s="114">
        <f t="shared" si="2"/>
        <v>-459.21</v>
      </c>
      <c r="K20" s="45">
        <f t="shared" si="3"/>
        <v>0.4916595289079229</v>
      </c>
      <c r="L20" s="46" t="e">
        <f t="shared" si="4"/>
        <v>#DIV/0!</v>
      </c>
      <c r="M20" s="47" t="e">
        <f t="shared" si="5"/>
        <v>#DIV/0!</v>
      </c>
      <c r="N20" s="48" t="e">
        <f t="shared" si="6"/>
        <v>#DIV/0!</v>
      </c>
      <c r="O20" s="97">
        <f t="shared" si="7"/>
        <v>0.041519891500904155</v>
      </c>
      <c r="P20" s="98" t="e">
        <f t="shared" si="8"/>
        <v>#DIV/0!</v>
      </c>
      <c r="Q20" s="99" t="e">
        <f t="shared" si="9"/>
        <v>#DIV/0!</v>
      </c>
      <c r="R20" s="48" t="e">
        <f t="shared" si="10"/>
        <v>#DIV/0!</v>
      </c>
    </row>
    <row r="21" spans="1:18" ht="15">
      <c r="A21" s="19" t="s">
        <v>20</v>
      </c>
      <c r="B21" s="157">
        <v>10153</v>
      </c>
      <c r="C21" s="157">
        <f>SUM(gaz!B23)</f>
        <v>0</v>
      </c>
      <c r="D21" s="116">
        <f t="shared" si="0"/>
        <v>-10153</v>
      </c>
      <c r="E21" s="140">
        <v>119887</v>
      </c>
      <c r="F21" s="20">
        <f>gaz!C23</f>
        <v>0</v>
      </c>
      <c r="G21" s="116">
        <f t="shared" si="1"/>
        <v>-119887</v>
      </c>
      <c r="H21" s="51">
        <v>4967.19</v>
      </c>
      <c r="I21" s="51">
        <f>SUM(gaz!D23)</f>
        <v>0</v>
      </c>
      <c r="J21" s="114">
        <f t="shared" si="2"/>
        <v>-4967.19</v>
      </c>
      <c r="K21" s="45">
        <f t="shared" si="3"/>
        <v>0.48923372402245635</v>
      </c>
      <c r="L21" s="46" t="e">
        <f t="shared" si="4"/>
        <v>#DIV/0!</v>
      </c>
      <c r="M21" s="47" t="e">
        <f t="shared" si="5"/>
        <v>#DIV/0!</v>
      </c>
      <c r="N21" s="48" t="e">
        <f t="shared" si="6"/>
        <v>#DIV/0!</v>
      </c>
      <c r="O21" s="97">
        <f t="shared" si="7"/>
        <v>0.041432265383235876</v>
      </c>
      <c r="P21" s="98" t="e">
        <f t="shared" si="8"/>
        <v>#DIV/0!</v>
      </c>
      <c r="Q21" s="99" t="e">
        <f t="shared" si="9"/>
        <v>#DIV/0!</v>
      </c>
      <c r="R21" s="48" t="e">
        <f t="shared" si="10"/>
        <v>#DIV/0!</v>
      </c>
    </row>
    <row r="22" spans="1:18" ht="15">
      <c r="A22" s="19" t="s">
        <v>21</v>
      </c>
      <c r="B22" s="157">
        <v>14287</v>
      </c>
      <c r="C22" s="157">
        <f>SUM(gaz!B24)</f>
        <v>0</v>
      </c>
      <c r="D22" s="116">
        <f t="shared" si="0"/>
        <v>-14287</v>
      </c>
      <c r="E22" s="21">
        <v>170115</v>
      </c>
      <c r="F22" s="20">
        <f>gaz!C24</f>
        <v>0</v>
      </c>
      <c r="G22" s="116">
        <f t="shared" si="1"/>
        <v>-170115</v>
      </c>
      <c r="H22" s="51">
        <v>7189.51</v>
      </c>
      <c r="I22" s="51">
        <f>SUM(gaz!D24)</f>
        <v>0</v>
      </c>
      <c r="J22" s="114">
        <f t="shared" si="2"/>
        <v>-7189.51</v>
      </c>
      <c r="K22" s="45">
        <f t="shared" si="3"/>
        <v>0.5032204101630854</v>
      </c>
      <c r="L22" s="46" t="e">
        <f t="shared" si="4"/>
        <v>#DIV/0!</v>
      </c>
      <c r="M22" s="47" t="e">
        <f t="shared" si="5"/>
        <v>#DIV/0!</v>
      </c>
      <c r="N22" s="48" t="e">
        <f t="shared" si="6"/>
        <v>#DIV/0!</v>
      </c>
      <c r="O22" s="97">
        <f t="shared" si="7"/>
        <v>0.04226264585721424</v>
      </c>
      <c r="P22" s="98" t="e">
        <f t="shared" si="8"/>
        <v>#DIV/0!</v>
      </c>
      <c r="Q22" s="99" t="e">
        <f t="shared" si="9"/>
        <v>#DIV/0!</v>
      </c>
      <c r="R22" s="48" t="e">
        <f t="shared" si="10"/>
        <v>#DIV/0!</v>
      </c>
    </row>
    <row r="23" spans="1:18" ht="15">
      <c r="A23" s="17" t="s">
        <v>32</v>
      </c>
      <c r="B23" s="24">
        <f aca="true" t="shared" si="11" ref="B23:J23">SUM(B11:B22)</f>
        <v>89021</v>
      </c>
      <c r="C23" s="24">
        <f t="shared" si="11"/>
        <v>39683</v>
      </c>
      <c r="D23" s="138">
        <f t="shared" si="11"/>
        <v>-49338</v>
      </c>
      <c r="E23" s="34">
        <f>SUM(E11:E22)</f>
        <v>1054770</v>
      </c>
      <c r="F23" s="24">
        <f>SUM(F11:F22)</f>
        <v>472500</v>
      </c>
      <c r="G23" s="118">
        <f>SUM(G11:G22)</f>
        <v>-582270</v>
      </c>
      <c r="H23" s="53">
        <f t="shared" si="11"/>
        <v>42036.509999999995</v>
      </c>
      <c r="I23" s="53">
        <f t="shared" si="11"/>
        <v>21645.150000000005</v>
      </c>
      <c r="J23" s="115">
        <f t="shared" si="11"/>
        <v>-20391.36</v>
      </c>
      <c r="K23" s="54">
        <f t="shared" si="3"/>
        <v>0.472208916997113</v>
      </c>
      <c r="L23" s="55">
        <f t="shared" si="4"/>
        <v>0.5454514527631481</v>
      </c>
      <c r="M23" s="56">
        <f t="shared" si="5"/>
        <v>0.07324253576603512</v>
      </c>
      <c r="N23" s="57">
        <f t="shared" si="6"/>
        <v>0.1551062106827663</v>
      </c>
      <c r="O23" s="147"/>
      <c r="P23" s="148"/>
      <c r="Q23" s="159">
        <f t="shared" si="9"/>
        <v>0</v>
      </c>
      <c r="R23" s="57" t="e">
        <f t="shared" si="10"/>
        <v>#DIV/0!</v>
      </c>
    </row>
    <row r="24" spans="1:18" ht="15">
      <c r="A24" s="17" t="s">
        <v>24</v>
      </c>
      <c r="B24" s="58">
        <f>SUM(H23/B23)</f>
        <v>0.472208916997113</v>
      </c>
      <c r="C24" s="58">
        <f>SUM(I23/C23)</f>
        <v>0.5454514527631481</v>
      </c>
      <c r="E24" s="141"/>
      <c r="F24" s="58"/>
      <c r="H24" s="59"/>
      <c r="I24" s="59"/>
      <c r="J24" s="52"/>
      <c r="K24" s="45">
        <f t="shared" si="3"/>
        <v>0</v>
      </c>
      <c r="L24" s="46">
        <f t="shared" si="4"/>
        <v>0</v>
      </c>
      <c r="M24" s="47">
        <f t="shared" si="5"/>
        <v>0</v>
      </c>
      <c r="N24" s="48"/>
      <c r="O24" s="149">
        <f>H23/E23</f>
        <v>0.039853721664438686</v>
      </c>
      <c r="P24" s="150">
        <f>I23/F23</f>
        <v>0.04580984126984128</v>
      </c>
      <c r="Q24" s="151"/>
      <c r="R24" s="48"/>
    </row>
    <row r="25" spans="1:18" ht="15.75" thickBot="1">
      <c r="A25" s="28"/>
      <c r="B25" s="61"/>
      <c r="C25" s="61"/>
      <c r="D25" s="62"/>
      <c r="E25" s="142"/>
      <c r="F25" s="61"/>
      <c r="G25" s="62"/>
      <c r="H25" s="36"/>
      <c r="I25" s="63"/>
      <c r="J25" s="32"/>
      <c r="K25" s="135"/>
      <c r="L25" s="46"/>
      <c r="M25" s="47"/>
      <c r="N25" s="48"/>
      <c r="O25" s="146"/>
      <c r="P25" s="101"/>
      <c r="Q25" s="152"/>
      <c r="R25" s="153"/>
    </row>
    <row r="26" spans="1:14" ht="15.75" thickTop="1">
      <c r="A26"/>
      <c r="B26"/>
      <c r="K26" s="6"/>
      <c r="L26" s="67"/>
      <c r="M26" s="67"/>
      <c r="N26" s="68"/>
    </row>
    <row r="27" spans="1:14" ht="15">
      <c r="A27"/>
      <c r="B27"/>
      <c r="K27" s="6"/>
      <c r="L27" s="69"/>
      <c r="M27" s="69"/>
      <c r="N27" s="70"/>
    </row>
    <row r="28" spans="1:14" ht="15">
      <c r="A28"/>
      <c r="B28"/>
      <c r="K28" s="6"/>
      <c r="L28" s="69"/>
      <c r="M28" s="69"/>
      <c r="N28" s="70"/>
    </row>
    <row r="29" spans="1:11" ht="15">
      <c r="A29"/>
      <c r="B29"/>
      <c r="K29" s="6"/>
    </row>
    <row r="30" spans="1:11" ht="15">
      <c r="A30"/>
      <c r="B30"/>
      <c r="K30" s="6"/>
    </row>
    <row r="31" spans="1:11" ht="15">
      <c r="A31"/>
      <c r="B31"/>
      <c r="K31" s="6"/>
    </row>
    <row r="32" spans="1:11" ht="15">
      <c r="A32"/>
      <c r="B32"/>
      <c r="K32" s="6"/>
    </row>
    <row r="33" spans="1:2" ht="15">
      <c r="A33"/>
      <c r="B33"/>
    </row>
    <row r="34" spans="1:2" ht="15">
      <c r="A34"/>
      <c r="B34"/>
    </row>
    <row r="35" spans="1:2" ht="15">
      <c r="A35"/>
      <c r="B35"/>
    </row>
    <row r="36" spans="1:2" ht="15">
      <c r="A36"/>
      <c r="B36"/>
    </row>
    <row r="37" spans="1:2" ht="15">
      <c r="A37"/>
      <c r="B37"/>
    </row>
    <row r="38" spans="1:2" ht="15">
      <c r="A38"/>
      <c r="B38"/>
    </row>
    <row r="39" spans="1:2" ht="15">
      <c r="A39"/>
      <c r="B39"/>
    </row>
  </sheetData>
  <mergeCells count="6">
    <mergeCell ref="A5:N5"/>
    <mergeCell ref="E8:G8"/>
    <mergeCell ref="O8:R8"/>
    <mergeCell ref="B8:D8"/>
    <mergeCell ref="H8:J8"/>
    <mergeCell ref="K8:N8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67" r:id="rId2"/>
  <headerFooter alignWithMargins="0">
    <oddFooter>&amp;Rmhs/batiment/&amp;F/&amp;A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Zeros="0" tabSelected="1" workbookViewId="0" topLeftCell="A1">
      <selection activeCell="A1" sqref="A1:A2"/>
    </sheetView>
  </sheetViews>
  <sheetFormatPr defaultColWidth="11.421875" defaultRowHeight="12.75"/>
  <cols>
    <col min="1" max="1" width="10.7109375" style="0" customWidth="1"/>
    <col min="2" max="2" width="11.8515625" style="0" customWidth="1"/>
    <col min="3" max="3" width="10.421875" style="0" customWidth="1"/>
    <col min="4" max="4" width="11.28125" style="0" customWidth="1"/>
    <col min="5" max="6" width="14.00390625" style="0" bestFit="1" customWidth="1"/>
    <col min="7" max="7" width="14.8515625" style="0" bestFit="1" customWidth="1"/>
    <col min="8" max="9" width="6.421875" style="0" customWidth="1"/>
    <col min="10" max="10" width="12.140625" style="0" customWidth="1"/>
    <col min="11" max="13" width="12.00390625" style="2" customWidth="1"/>
  </cols>
  <sheetData>
    <row r="1" spans="1:14" ht="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38"/>
      <c r="B2" s="6"/>
      <c r="C2" s="6"/>
      <c r="D2" s="6"/>
      <c r="E2" s="6"/>
      <c r="F2" s="6"/>
      <c r="G2" s="6"/>
      <c r="H2" s="6"/>
      <c r="I2" s="6"/>
      <c r="J2" s="154"/>
      <c r="K2" s="6"/>
      <c r="L2" s="6"/>
      <c r="M2" s="6"/>
      <c r="N2" s="6"/>
    </row>
    <row r="3" spans="1:1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 thickTop="1">
      <c r="A5" s="163" t="s">
        <v>55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5"/>
    </row>
    <row r="6" spans="1:14" ht="16.5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6.5" thickBot="1" thickTop="1">
      <c r="A7" s="6"/>
      <c r="B7" s="129" t="s">
        <v>52</v>
      </c>
      <c r="C7" s="130" t="s">
        <v>54</v>
      </c>
      <c r="D7" s="40" t="s">
        <v>30</v>
      </c>
      <c r="E7" s="129" t="s">
        <v>52</v>
      </c>
      <c r="F7" s="130" t="s">
        <v>54</v>
      </c>
      <c r="G7" s="92" t="s">
        <v>30</v>
      </c>
      <c r="H7" s="129" t="s">
        <v>52</v>
      </c>
      <c r="I7" s="130" t="s">
        <v>54</v>
      </c>
      <c r="J7" s="39" t="s">
        <v>30</v>
      </c>
      <c r="K7" s="129" t="s">
        <v>52</v>
      </c>
      <c r="L7" s="130" t="s">
        <v>54</v>
      </c>
      <c r="M7" s="93" t="s">
        <v>30</v>
      </c>
      <c r="N7" s="94" t="s">
        <v>41</v>
      </c>
    </row>
    <row r="8" spans="1:14" ht="16.5" thickBot="1" thickTop="1">
      <c r="A8" s="95" t="s">
        <v>3</v>
      </c>
      <c r="B8" s="171" t="s">
        <v>7</v>
      </c>
      <c r="C8" s="171"/>
      <c r="D8" s="171"/>
      <c r="E8" s="171" t="s">
        <v>34</v>
      </c>
      <c r="F8" s="171"/>
      <c r="G8" s="172"/>
      <c r="H8" s="171" t="s">
        <v>31</v>
      </c>
      <c r="I8" s="171"/>
      <c r="J8" s="172"/>
      <c r="K8" s="163" t="s">
        <v>37</v>
      </c>
      <c r="L8" s="164"/>
      <c r="M8" s="164"/>
      <c r="N8" s="165"/>
    </row>
    <row r="9" spans="1:14" ht="15.75" thickTop="1">
      <c r="A9" s="64"/>
      <c r="B9" s="65"/>
      <c r="C9" s="65"/>
      <c r="D9" s="65"/>
      <c r="E9" s="65"/>
      <c r="F9" s="65"/>
      <c r="G9" s="65"/>
      <c r="H9" s="65"/>
      <c r="I9" s="65"/>
      <c r="J9" s="66"/>
      <c r="K9" s="76"/>
      <c r="L9" s="50"/>
      <c r="M9" s="75"/>
      <c r="N9" s="16"/>
    </row>
    <row r="10" spans="1:14" ht="15">
      <c r="A10" s="76" t="s">
        <v>10</v>
      </c>
      <c r="B10" s="77">
        <v>34907</v>
      </c>
      <c r="C10" s="77">
        <f>+electricite!E15</f>
        <v>34187</v>
      </c>
      <c r="D10" s="77">
        <f>SUM(C10-B10)</f>
        <v>-720</v>
      </c>
      <c r="E10" s="131">
        <v>5081.71</v>
      </c>
      <c r="F10" s="131">
        <f>SUM(electricite!F15)</f>
        <v>5471.06</v>
      </c>
      <c r="G10" s="131">
        <f>SUM(F10-E10)</f>
        <v>389.35000000000036</v>
      </c>
      <c r="H10" s="79">
        <v>177</v>
      </c>
      <c r="I10" s="34">
        <f>SUM(electricite!H15)</f>
        <v>210</v>
      </c>
      <c r="J10" s="120">
        <f>SUM(I10-H10)</f>
        <v>33</v>
      </c>
      <c r="K10" s="97">
        <f>SUM(E10/B10)</f>
        <v>0.14557853725613773</v>
      </c>
      <c r="L10" s="98">
        <f>SUM(F10/C10)</f>
        <v>0.16003334600871677</v>
      </c>
      <c r="M10" s="121">
        <f>SUM(L10-K10)</f>
        <v>0.01445480875257904</v>
      </c>
      <c r="N10" s="48">
        <f>M10/K10</f>
        <v>0.0992921691962502</v>
      </c>
    </row>
    <row r="11" spans="1:14" ht="15">
      <c r="A11" s="76" t="s">
        <v>11</v>
      </c>
      <c r="B11" s="77">
        <v>25274</v>
      </c>
      <c r="C11" s="77">
        <f>SUM(electricite!E16)</f>
        <v>23117</v>
      </c>
      <c r="D11" s="77">
        <f aca="true" t="shared" si="0" ref="D11:D21">SUM(C11-B11)</f>
        <v>-2157</v>
      </c>
      <c r="E11" s="131">
        <v>3907.97</v>
      </c>
      <c r="F11" s="131">
        <f>SUM(electricite!F16)</f>
        <v>3545.93</v>
      </c>
      <c r="G11" s="131">
        <f aca="true" t="shared" si="1" ref="G11:G21">SUM(F11-E11)</f>
        <v>-362.03999999999996</v>
      </c>
      <c r="H11" s="79">
        <v>202</v>
      </c>
      <c r="I11" s="34">
        <f>SUM(electricite!H16)</f>
        <v>182</v>
      </c>
      <c r="J11" s="120">
        <f aca="true" t="shared" si="2" ref="J11:J21">SUM(I11-H11)</f>
        <v>-20</v>
      </c>
      <c r="K11" s="97">
        <f aca="true" t="shared" si="3" ref="K11:K21">SUM(E11/B11)</f>
        <v>0.15462411964865078</v>
      </c>
      <c r="L11" s="98">
        <f aca="true" t="shared" si="4" ref="L11:L21">SUM(F11/C11)</f>
        <v>0.15339057836224423</v>
      </c>
      <c r="M11" s="121">
        <f aca="true" t="shared" si="5" ref="M11:M23">SUM(L11-K11)</f>
        <v>-0.001233541286406542</v>
      </c>
      <c r="N11" s="48">
        <f aca="true" t="shared" si="6" ref="N11:N23">M11/K11</f>
        <v>-0.007977677022249134</v>
      </c>
    </row>
    <row r="12" spans="1:14" ht="15">
      <c r="A12" s="76" t="s">
        <v>12</v>
      </c>
      <c r="B12" s="77">
        <v>31416</v>
      </c>
      <c r="C12" s="77">
        <f>SUM(electricite!E17)</f>
        <v>34843</v>
      </c>
      <c r="D12" s="77">
        <f t="shared" si="0"/>
        <v>3427</v>
      </c>
      <c r="E12" s="131">
        <v>3781.2</v>
      </c>
      <c r="F12" s="131">
        <f>SUM(electricite!F17)</f>
        <v>4252.27</v>
      </c>
      <c r="G12" s="131">
        <f t="shared" si="1"/>
        <v>471.0700000000006</v>
      </c>
      <c r="H12" s="79">
        <v>188</v>
      </c>
      <c r="I12" s="34">
        <f>SUM(electricite!H17)</f>
        <v>185</v>
      </c>
      <c r="J12" s="120">
        <f t="shared" si="2"/>
        <v>-3</v>
      </c>
      <c r="K12" s="97">
        <f t="shared" si="3"/>
        <v>0.12035905271199389</v>
      </c>
      <c r="L12" s="98">
        <f t="shared" si="4"/>
        <v>0.12204086904112736</v>
      </c>
      <c r="M12" s="121">
        <f t="shared" si="5"/>
        <v>0.0016818163291334731</v>
      </c>
      <c r="N12" s="48">
        <f t="shared" si="6"/>
        <v>0.01397332640327335</v>
      </c>
    </row>
    <row r="13" spans="1:14" ht="15">
      <c r="A13" s="76" t="s">
        <v>13</v>
      </c>
      <c r="B13" s="77">
        <v>26050</v>
      </c>
      <c r="C13" s="77">
        <f>SUM(electricite!E18)</f>
        <v>22689</v>
      </c>
      <c r="D13" s="77">
        <f t="shared" si="0"/>
        <v>-3361</v>
      </c>
      <c r="E13" s="131">
        <v>1402.57</v>
      </c>
      <c r="F13" s="131">
        <f>SUM(electricite!F18)</f>
        <v>1289.59</v>
      </c>
      <c r="G13" s="131">
        <f t="shared" si="1"/>
        <v>-112.98000000000002</v>
      </c>
      <c r="H13" s="81">
        <v>164</v>
      </c>
      <c r="I13" s="100">
        <f>SUM(electricite!H18)</f>
        <v>180</v>
      </c>
      <c r="J13" s="120">
        <f t="shared" si="2"/>
        <v>16</v>
      </c>
      <c r="K13" s="97">
        <f t="shared" si="3"/>
        <v>0.05384145873320537</v>
      </c>
      <c r="L13" s="98">
        <f t="shared" si="4"/>
        <v>0.05683767464410066</v>
      </c>
      <c r="M13" s="121">
        <f t="shared" si="5"/>
        <v>0.0029962159108952863</v>
      </c>
      <c r="N13" s="48">
        <f t="shared" si="6"/>
        <v>0.05564886207378043</v>
      </c>
    </row>
    <row r="14" spans="1:14" ht="15">
      <c r="A14" s="76" t="s">
        <v>14</v>
      </c>
      <c r="B14" s="77">
        <v>25318</v>
      </c>
      <c r="C14" s="77">
        <f>SUM(electricite!E19)</f>
        <v>27568</v>
      </c>
      <c r="D14" s="77">
        <f t="shared" si="0"/>
        <v>2250</v>
      </c>
      <c r="E14" s="131">
        <v>1386.48</v>
      </c>
      <c r="F14" s="131">
        <f>SUM(electricite!F19)</f>
        <v>1509</v>
      </c>
      <c r="G14" s="131">
        <f t="shared" si="1"/>
        <v>122.51999999999998</v>
      </c>
      <c r="H14" s="81">
        <v>170</v>
      </c>
      <c r="I14" s="155">
        <f>SUM(electricite!H19)</f>
        <v>182</v>
      </c>
      <c r="J14" s="120">
        <f t="shared" si="2"/>
        <v>12</v>
      </c>
      <c r="K14" s="97">
        <f t="shared" si="3"/>
        <v>0.05476261948021171</v>
      </c>
      <c r="L14" s="98">
        <f t="shared" si="4"/>
        <v>0.054737376668601276</v>
      </c>
      <c r="M14" s="121">
        <f t="shared" si="5"/>
        <v>-2.5242811610433347E-05</v>
      </c>
      <c r="N14" s="48">
        <f t="shared" si="6"/>
        <v>-0.00046094967424914273</v>
      </c>
    </row>
    <row r="15" spans="1:14" ht="15">
      <c r="A15" s="76" t="s">
        <v>15</v>
      </c>
      <c r="B15" s="77">
        <v>17889</v>
      </c>
      <c r="C15" s="77">
        <f>SUM(electricite!E20)</f>
        <v>19513</v>
      </c>
      <c r="D15" s="77">
        <f t="shared" si="0"/>
        <v>1624</v>
      </c>
      <c r="E15" s="131">
        <v>1082.79</v>
      </c>
      <c r="F15" s="131">
        <f>SUM(electricite!F20)</f>
        <v>1163.56</v>
      </c>
      <c r="G15" s="131">
        <f t="shared" si="1"/>
        <v>80.76999999999998</v>
      </c>
      <c r="H15" s="81">
        <v>137</v>
      </c>
      <c r="I15" s="100">
        <f>SUM(electricite!H20)</f>
        <v>141</v>
      </c>
      <c r="J15" s="120">
        <f t="shared" si="2"/>
        <v>4</v>
      </c>
      <c r="K15" s="97">
        <f t="shared" si="3"/>
        <v>0.060528257588462184</v>
      </c>
      <c r="L15" s="98">
        <f t="shared" si="4"/>
        <v>0.05962999026290165</v>
      </c>
      <c r="M15" s="121">
        <f t="shared" si="5"/>
        <v>-0.0008982673255605311</v>
      </c>
      <c r="N15" s="48">
        <f t="shared" si="6"/>
        <v>-0.014840462312131014</v>
      </c>
    </row>
    <row r="16" spans="1:14" ht="15">
      <c r="A16" s="76" t="s">
        <v>16</v>
      </c>
      <c r="B16" s="77">
        <v>9500</v>
      </c>
      <c r="C16" s="77">
        <f>SUM(electricite!E21)</f>
        <v>10060</v>
      </c>
      <c r="D16" s="77">
        <f t="shared" si="0"/>
        <v>560</v>
      </c>
      <c r="E16" s="131">
        <v>736.9</v>
      </c>
      <c r="F16" s="131">
        <f>SUM(electricite!F21)</f>
        <v>771.49</v>
      </c>
      <c r="G16" s="131">
        <f t="shared" si="1"/>
        <v>34.59000000000003</v>
      </c>
      <c r="H16" s="81">
        <v>53</v>
      </c>
      <c r="I16" s="100">
        <f>SUM(electricite!H21)</f>
        <v>72</v>
      </c>
      <c r="J16" s="120">
        <f t="shared" si="2"/>
        <v>19</v>
      </c>
      <c r="K16" s="97">
        <f t="shared" si="3"/>
        <v>0.07756842105263158</v>
      </c>
      <c r="L16" s="98">
        <f t="shared" si="4"/>
        <v>0.07668886679920477</v>
      </c>
      <c r="M16" s="121">
        <f t="shared" si="5"/>
        <v>-0.0008795542534268119</v>
      </c>
      <c r="N16" s="48">
        <f t="shared" si="6"/>
        <v>-0.011339076411391931</v>
      </c>
    </row>
    <row r="17" spans="1:14" ht="15">
      <c r="A17" s="76" t="s">
        <v>17</v>
      </c>
      <c r="B17" s="77">
        <v>9196</v>
      </c>
      <c r="C17" s="77">
        <f>SUM(electricite!E22)</f>
        <v>9976</v>
      </c>
      <c r="D17" s="77">
        <f t="shared" si="0"/>
        <v>780</v>
      </c>
      <c r="E17" s="131">
        <v>734.09</v>
      </c>
      <c r="F17" s="131">
        <f>SUM(electricite!F22)</f>
        <v>772.64</v>
      </c>
      <c r="G17" s="131">
        <f t="shared" si="1"/>
        <v>38.549999999999955</v>
      </c>
      <c r="H17" s="81">
        <v>106</v>
      </c>
      <c r="I17" s="100">
        <f>SUM(electricite!H22)</f>
        <v>89</v>
      </c>
      <c r="J17" s="120">
        <f t="shared" si="2"/>
        <v>-17</v>
      </c>
      <c r="K17" s="97">
        <f t="shared" si="3"/>
        <v>0.079827098738582</v>
      </c>
      <c r="L17" s="98">
        <f t="shared" si="4"/>
        <v>0.07744987971130714</v>
      </c>
      <c r="M17" s="121">
        <f t="shared" si="5"/>
        <v>-0.002377219027274863</v>
      </c>
      <c r="N17" s="48">
        <f t="shared" si="6"/>
        <v>-0.029779599469846527</v>
      </c>
    </row>
    <row r="18" spans="1:14" ht="15">
      <c r="A18" s="76" t="s">
        <v>18</v>
      </c>
      <c r="B18" s="77">
        <v>28554</v>
      </c>
      <c r="C18" s="77">
        <f>SUM(electricite!E23)</f>
        <v>0</v>
      </c>
      <c r="D18" s="77">
        <f t="shared" si="0"/>
        <v>-28554</v>
      </c>
      <c r="E18" s="131">
        <v>1544.4</v>
      </c>
      <c r="F18" s="131">
        <f>SUM(electricite!F23)</f>
        <v>0</v>
      </c>
      <c r="G18" s="131">
        <f t="shared" si="1"/>
        <v>-1544.4</v>
      </c>
      <c r="H18" s="79">
        <v>177</v>
      </c>
      <c r="I18" s="100">
        <f>SUM(electricite!H23)</f>
        <v>0</v>
      </c>
      <c r="J18" s="120">
        <f t="shared" si="2"/>
        <v>-177</v>
      </c>
      <c r="K18" s="97">
        <f t="shared" si="3"/>
        <v>0.054086993065770125</v>
      </c>
      <c r="L18" s="98" t="e">
        <f t="shared" si="4"/>
        <v>#DIV/0!</v>
      </c>
      <c r="M18" s="121" t="e">
        <f t="shared" si="5"/>
        <v>#DIV/0!</v>
      </c>
      <c r="N18" s="48" t="e">
        <f t="shared" si="6"/>
        <v>#DIV/0!</v>
      </c>
    </row>
    <row r="19" spans="1:14" ht="15">
      <c r="A19" s="76" t="s">
        <v>19</v>
      </c>
      <c r="B19" s="77">
        <v>28319</v>
      </c>
      <c r="C19" s="77">
        <f>SUM(electricite!E24)</f>
        <v>0</v>
      </c>
      <c r="D19" s="77">
        <f t="shared" si="0"/>
        <v>-28319</v>
      </c>
      <c r="E19" s="131">
        <v>1532.28</v>
      </c>
      <c r="F19" s="131">
        <f>SUM(electricite!F24)</f>
        <v>0</v>
      </c>
      <c r="G19" s="131">
        <f t="shared" si="1"/>
        <v>-1532.28</v>
      </c>
      <c r="H19" s="79">
        <v>175</v>
      </c>
      <c r="I19" s="34">
        <f>SUM(electricite!H24)</f>
        <v>0</v>
      </c>
      <c r="J19" s="120">
        <f t="shared" si="2"/>
        <v>-175</v>
      </c>
      <c r="K19" s="97">
        <f t="shared" si="3"/>
        <v>0.054107842791059006</v>
      </c>
      <c r="L19" s="98" t="e">
        <f t="shared" si="4"/>
        <v>#DIV/0!</v>
      </c>
      <c r="M19" s="121" t="e">
        <f t="shared" si="5"/>
        <v>#DIV/0!</v>
      </c>
      <c r="N19" s="48" t="e">
        <f t="shared" si="6"/>
        <v>#DIV/0!</v>
      </c>
    </row>
    <row r="20" spans="1:14" ht="15">
      <c r="A20" s="76" t="s">
        <v>20</v>
      </c>
      <c r="B20" s="77">
        <v>33640</v>
      </c>
      <c r="C20" s="77">
        <f>SUM(electricite!E25)</f>
        <v>0</v>
      </c>
      <c r="D20" s="77">
        <f t="shared" si="0"/>
        <v>-33640</v>
      </c>
      <c r="E20" s="131">
        <v>4107.75</v>
      </c>
      <c r="F20" s="131">
        <f>SUM(electricite!F25)</f>
        <v>0</v>
      </c>
      <c r="G20" s="131">
        <f t="shared" si="1"/>
        <v>-4107.75</v>
      </c>
      <c r="H20" s="79">
        <v>185</v>
      </c>
      <c r="I20" s="34">
        <f>SUM(electricite!H25)</f>
        <v>0</v>
      </c>
      <c r="J20" s="120">
        <f t="shared" si="2"/>
        <v>-185</v>
      </c>
      <c r="K20" s="97">
        <f t="shared" si="3"/>
        <v>0.12210909631391201</v>
      </c>
      <c r="L20" s="98" t="e">
        <f t="shared" si="4"/>
        <v>#DIV/0!</v>
      </c>
      <c r="M20" s="121" t="e">
        <f t="shared" si="5"/>
        <v>#DIV/0!</v>
      </c>
      <c r="N20" s="48" t="e">
        <f t="shared" si="6"/>
        <v>#DIV/0!</v>
      </c>
    </row>
    <row r="21" spans="1:14" ht="15">
      <c r="A21" s="76" t="s">
        <v>21</v>
      </c>
      <c r="B21" s="77">
        <v>31652</v>
      </c>
      <c r="C21" s="77">
        <f>SUM(electricite!E26)</f>
        <v>0</v>
      </c>
      <c r="D21" s="77">
        <f t="shared" si="0"/>
        <v>-31652</v>
      </c>
      <c r="E21" s="131">
        <v>4866.47</v>
      </c>
      <c r="F21" s="131">
        <f>SUM(electricite!F26)</f>
        <v>0</v>
      </c>
      <c r="G21" s="131">
        <f t="shared" si="1"/>
        <v>-4866.47</v>
      </c>
      <c r="H21" s="79">
        <v>196</v>
      </c>
      <c r="I21" s="34">
        <f>SUM(electricite!H26)</f>
        <v>0</v>
      </c>
      <c r="J21" s="120">
        <f t="shared" si="2"/>
        <v>-196</v>
      </c>
      <c r="K21" s="97">
        <f t="shared" si="3"/>
        <v>0.1537492101604954</v>
      </c>
      <c r="L21" s="98" t="e">
        <f t="shared" si="4"/>
        <v>#DIV/0!</v>
      </c>
      <c r="M21" s="121" t="e">
        <f t="shared" si="5"/>
        <v>#DIV/0!</v>
      </c>
      <c r="N21" s="48" t="e">
        <f t="shared" si="6"/>
        <v>#DIV/0!</v>
      </c>
    </row>
    <row r="22" spans="1:14" ht="15">
      <c r="A22" s="76"/>
      <c r="B22" s="77"/>
      <c r="C22" s="77"/>
      <c r="D22" s="77"/>
      <c r="E22" s="131"/>
      <c r="F22" s="131"/>
      <c r="G22" s="131"/>
      <c r="H22" s="100"/>
      <c r="I22" s="100"/>
      <c r="J22" s="96"/>
      <c r="K22" s="97"/>
      <c r="L22" s="98"/>
      <c r="M22" s="99"/>
      <c r="N22" s="48"/>
    </row>
    <row r="23" spans="1:14" ht="15.75" thickBot="1">
      <c r="A23" s="71"/>
      <c r="B23" s="83">
        <f aca="true" t="shared" si="7" ref="B23:G23">SUM(B10:B22)</f>
        <v>301715</v>
      </c>
      <c r="C23" s="83">
        <f t="shared" si="7"/>
        <v>181953</v>
      </c>
      <c r="D23" s="119">
        <f t="shared" si="7"/>
        <v>-119762</v>
      </c>
      <c r="E23" s="132">
        <f t="shared" si="7"/>
        <v>30164.610000000004</v>
      </c>
      <c r="F23" s="132">
        <f t="shared" si="7"/>
        <v>18775.54</v>
      </c>
      <c r="G23" s="132">
        <f t="shared" si="7"/>
        <v>-11389.07</v>
      </c>
      <c r="H23" s="101"/>
      <c r="I23" s="101"/>
      <c r="J23" s="102"/>
      <c r="K23" s="103">
        <f>E23/B23</f>
        <v>0.09997716387982038</v>
      </c>
      <c r="L23" s="104">
        <f>F23/C23</f>
        <v>0.10318895538957863</v>
      </c>
      <c r="M23" s="105">
        <f t="shared" si="5"/>
        <v>0.003211791509758255</v>
      </c>
      <c r="N23" s="106">
        <f t="shared" si="6"/>
        <v>0.03212525125856796</v>
      </c>
    </row>
    <row r="24" spans="1:14" ht="15.75" thickTop="1">
      <c r="A24" s="6"/>
      <c r="B24" s="107"/>
      <c r="C24" s="107"/>
      <c r="D24" s="107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>
      <c r="A25" s="108" t="s">
        <v>56</v>
      </c>
      <c r="B25" s="109"/>
      <c r="C25" s="110">
        <f>E23/B23</f>
        <v>0.09997716387982038</v>
      </c>
      <c r="D25" s="6"/>
      <c r="E25" s="6"/>
      <c r="F25" s="6"/>
      <c r="G25" s="6"/>
      <c r="H25" s="6"/>
      <c r="I25" s="111"/>
      <c r="J25" s="111"/>
      <c r="K25" s="111"/>
      <c r="L25" s="6"/>
      <c r="M25" s="6"/>
      <c r="N25" s="6"/>
    </row>
    <row r="26" spans="1:14" ht="15">
      <c r="A26" s="108" t="s">
        <v>57</v>
      </c>
      <c r="B26" s="109"/>
      <c r="C26" s="110">
        <f>SUM(F23/C23)</f>
        <v>0.10318895538957863</v>
      </c>
      <c r="D26" s="6"/>
      <c r="E26" s="6"/>
      <c r="F26" s="6"/>
      <c r="G26" s="6"/>
      <c r="H26" s="6"/>
      <c r="I26" s="111"/>
      <c r="J26" s="111"/>
      <c r="K26" s="111"/>
      <c r="L26" s="6"/>
      <c r="M26" s="6"/>
      <c r="N26" s="6"/>
    </row>
    <row r="27" spans="1:14" ht="15">
      <c r="A27" s="6"/>
      <c r="B27" s="6"/>
      <c r="C27" s="6"/>
      <c r="D27" s="6"/>
      <c r="E27" s="6"/>
      <c r="F27" s="6"/>
      <c r="G27" s="6"/>
      <c r="H27" s="6"/>
      <c r="I27" s="111"/>
      <c r="J27" s="111"/>
      <c r="K27" s="111"/>
      <c r="L27" s="6"/>
      <c r="M27" s="6"/>
      <c r="N27" s="6"/>
    </row>
    <row r="28" spans="9:11" ht="12.75">
      <c r="I28" s="3"/>
      <c r="J28" s="3"/>
      <c r="K28" s="4"/>
    </row>
    <row r="29" spans="9:11" ht="12.75">
      <c r="I29" s="3"/>
      <c r="J29" s="3"/>
      <c r="K29" s="4"/>
    </row>
    <row r="30" spans="9:11" ht="12.75">
      <c r="I30" s="3"/>
      <c r="J30" s="3"/>
      <c r="K30" s="4"/>
    </row>
    <row r="31" spans="9:11" ht="12.75">
      <c r="I31" s="3"/>
      <c r="J31" s="3"/>
      <c r="K31" s="4"/>
    </row>
    <row r="32" spans="9:11" ht="12.75">
      <c r="I32" s="3"/>
      <c r="J32" s="3"/>
      <c r="K32" s="4"/>
    </row>
    <row r="33" spans="9:11" ht="12.75">
      <c r="I33" s="3"/>
      <c r="J33" s="3"/>
      <c r="K33" s="4"/>
    </row>
    <row r="34" spans="9:11" ht="12.75">
      <c r="I34" s="3"/>
      <c r="J34" s="3"/>
      <c r="K34" s="4"/>
    </row>
    <row r="35" spans="9:11" ht="12.75">
      <c r="I35" s="1"/>
      <c r="J35" s="3"/>
      <c r="K35" s="4"/>
    </row>
  </sheetData>
  <mergeCells count="5">
    <mergeCell ref="A5:N5"/>
    <mergeCell ref="B8:D8"/>
    <mergeCell ref="E8:G8"/>
    <mergeCell ref="H8:J8"/>
    <mergeCell ref="K8:N8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Footer>&amp;Rmhs/bâtiment/&amp;F/&amp;A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K25" sqref="K25"/>
    </sheetView>
  </sheetViews>
  <sheetFormatPr defaultColWidth="11.421875" defaultRowHeight="12.75"/>
  <cols>
    <col min="1" max="1" width="13.421875" style="6" bestFit="1" customWidth="1"/>
    <col min="2" max="2" width="12.7109375" style="6" bestFit="1" customWidth="1"/>
    <col min="3" max="3" width="12.00390625" style="6" customWidth="1"/>
    <col min="4" max="4" width="12.00390625" style="122" customWidth="1"/>
    <col min="5" max="6" width="12.7109375" style="6" bestFit="1" customWidth="1"/>
    <col min="7" max="7" width="12.140625" style="6" bestFit="1" customWidth="1"/>
    <col min="8" max="8" width="12.00390625" style="122" customWidth="1"/>
    <col min="9" max="9" width="12.00390625" style="35" customWidth="1"/>
    <col min="10" max="10" width="12.00390625" style="6" customWidth="1"/>
    <col min="11" max="11" width="12.7109375" style="6" bestFit="1" customWidth="1"/>
  </cols>
  <sheetData>
    <row r="1" spans="1:5" ht="15">
      <c r="A1" s="6" t="s">
        <v>46</v>
      </c>
      <c r="D1" s="122">
        <f>61.29+3.37</f>
        <v>64.66</v>
      </c>
      <c r="E1" s="6">
        <f>63+3.47</f>
        <v>66.47</v>
      </c>
    </row>
    <row r="2" ht="15">
      <c r="D2" s="122">
        <f>62.04+3.41</f>
        <v>65.45</v>
      </c>
    </row>
    <row r="3" spans="1:14" ht="15">
      <c r="A3" s="123" t="s">
        <v>36</v>
      </c>
      <c r="B3" s="173" t="s">
        <v>44</v>
      </c>
      <c r="C3" s="173"/>
      <c r="D3" s="173"/>
      <c r="E3" s="174" t="s">
        <v>45</v>
      </c>
      <c r="F3" s="175"/>
      <c r="G3" s="175"/>
      <c r="H3" s="175"/>
      <c r="I3" s="176"/>
      <c r="J3" s="174" t="s">
        <v>47</v>
      </c>
      <c r="K3" s="175"/>
      <c r="L3" s="175"/>
      <c r="M3" s="175"/>
      <c r="N3" s="176"/>
    </row>
    <row r="4" spans="1:14" ht="15">
      <c r="A4" s="126"/>
      <c r="B4" s="123" t="s">
        <v>7</v>
      </c>
      <c r="C4" s="123" t="s">
        <v>33</v>
      </c>
      <c r="D4" s="124" t="s">
        <v>43</v>
      </c>
      <c r="E4" s="123" t="s">
        <v>7</v>
      </c>
      <c r="F4" s="123" t="s">
        <v>33</v>
      </c>
      <c r="G4" s="124" t="s">
        <v>43</v>
      </c>
      <c r="H4" s="124" t="s">
        <v>30</v>
      </c>
      <c r="I4" s="125" t="s">
        <v>41</v>
      </c>
      <c r="J4" s="123" t="s">
        <v>7</v>
      </c>
      <c r="K4" s="123" t="s">
        <v>33</v>
      </c>
      <c r="L4" s="124" t="s">
        <v>43</v>
      </c>
      <c r="M4" s="124" t="s">
        <v>30</v>
      </c>
      <c r="N4" s="125" t="s">
        <v>41</v>
      </c>
    </row>
    <row r="5" spans="1:14" ht="15">
      <c r="A5" s="123" t="s">
        <v>10</v>
      </c>
      <c r="B5" s="127">
        <v>101171</v>
      </c>
      <c r="C5" s="128">
        <f>3046.11-64.66</f>
        <v>2981.4500000000003</v>
      </c>
      <c r="D5" s="133">
        <f>C5/B5</f>
        <v>0.029469413171758708</v>
      </c>
      <c r="E5" s="127">
        <v>102730</v>
      </c>
      <c r="F5" s="128">
        <f>3300.29-66.47</f>
        <v>3233.82</v>
      </c>
      <c r="G5" s="133">
        <f>F5/E5</f>
        <v>0.031478827995716926</v>
      </c>
      <c r="H5" s="133">
        <f>G5-D5</f>
        <v>0.0020094148239582187</v>
      </c>
      <c r="I5" s="125">
        <f>H5/D5</f>
        <v>0.068186455300165</v>
      </c>
      <c r="J5" s="127">
        <v>112943</v>
      </c>
      <c r="K5" s="128">
        <f>4513.29-66.47</f>
        <v>4446.82</v>
      </c>
      <c r="L5" s="133">
        <f aca="true" t="shared" si="0" ref="L5:L16">K5/J5</f>
        <v>0.03937224971888474</v>
      </c>
      <c r="M5" s="133">
        <f>L5-G5</f>
        <v>0.007893421723167815</v>
      </c>
      <c r="N5" s="125">
        <f aca="true" t="shared" si="1" ref="N5:N16">M5/I5</f>
        <v>0.11576231215451839</v>
      </c>
    </row>
    <row r="6" spans="1:14" ht="15">
      <c r="A6" s="123" t="s">
        <v>11</v>
      </c>
      <c r="B6" s="127">
        <v>79781</v>
      </c>
      <c r="C6" s="128">
        <f>2415.77-64.66</f>
        <v>2351.11</v>
      </c>
      <c r="D6" s="133">
        <f aca="true" t="shared" si="2" ref="D6:D16">C6/B6</f>
        <v>0.029469547887341598</v>
      </c>
      <c r="E6" s="127">
        <v>94072</v>
      </c>
      <c r="F6" s="128">
        <f>3027.74-66.47</f>
        <v>2961.27</v>
      </c>
      <c r="G6" s="133">
        <f aca="true" t="shared" si="3" ref="G6:G16">F6/E6</f>
        <v>0.0314787609490603</v>
      </c>
      <c r="H6" s="133">
        <f aca="true" t="shared" si="4" ref="H6:H16">G6-D6</f>
        <v>0.002009213061718699</v>
      </c>
      <c r="I6" s="125">
        <f aca="true" t="shared" si="5" ref="I6:I16">H6/D6</f>
        <v>0.06817929713070826</v>
      </c>
      <c r="J6" s="127">
        <v>99996</v>
      </c>
      <c r="K6" s="128">
        <f>4003.55-66.47</f>
        <v>3937.0800000000004</v>
      </c>
      <c r="L6" s="133">
        <f t="shared" si="0"/>
        <v>0.0393723748949958</v>
      </c>
      <c r="M6" s="133">
        <f aca="true" t="shared" si="6" ref="M6:M16">L6-G6</f>
        <v>0.007893613945935504</v>
      </c>
      <c r="N6" s="125">
        <f t="shared" si="1"/>
        <v>0.11577728545371267</v>
      </c>
    </row>
    <row r="7" spans="1:14" ht="15">
      <c r="A7" s="123" t="s">
        <v>12</v>
      </c>
      <c r="B7" s="127">
        <v>127924</v>
      </c>
      <c r="C7" s="128">
        <f>3834.51-64.66</f>
        <v>3769.8500000000004</v>
      </c>
      <c r="D7" s="133">
        <f t="shared" si="2"/>
        <v>0.029469450611300463</v>
      </c>
      <c r="E7" s="127">
        <v>106572</v>
      </c>
      <c r="F7" s="128">
        <f>3421.21-66.47</f>
        <v>3354.7400000000002</v>
      </c>
      <c r="G7" s="133">
        <f t="shared" si="3"/>
        <v>0.0314786247794918</v>
      </c>
      <c r="H7" s="133">
        <f t="shared" si="4"/>
        <v>0.0020091741681913383</v>
      </c>
      <c r="I7" s="125">
        <f t="shared" si="5"/>
        <v>0.0681782023931214</v>
      </c>
      <c r="J7" s="127"/>
      <c r="K7" s="128"/>
      <c r="L7" s="133" t="e">
        <f t="shared" si="0"/>
        <v>#DIV/0!</v>
      </c>
      <c r="M7" s="133" t="e">
        <f t="shared" si="6"/>
        <v>#DIV/0!</v>
      </c>
      <c r="N7" s="125" t="e">
        <f t="shared" si="1"/>
        <v>#DIV/0!</v>
      </c>
    </row>
    <row r="8" spans="1:14" ht="15">
      <c r="A8" s="123" t="s">
        <v>13</v>
      </c>
      <c r="B8" s="127">
        <v>45623</v>
      </c>
      <c r="C8" s="128">
        <f>1164.21-64.66</f>
        <v>1099.55</v>
      </c>
      <c r="D8" s="133">
        <f t="shared" si="2"/>
        <v>0.024100782500054797</v>
      </c>
      <c r="E8" s="127">
        <v>79805</v>
      </c>
      <c r="F8" s="128">
        <f>2166.06-66.47</f>
        <v>2099.59</v>
      </c>
      <c r="G8" s="133">
        <f t="shared" si="3"/>
        <v>0.02630900319528852</v>
      </c>
      <c r="H8" s="133">
        <f t="shared" si="4"/>
        <v>0.0022082206952337216</v>
      </c>
      <c r="I8" s="125">
        <f t="shared" si="5"/>
        <v>0.0916244397968697</v>
      </c>
      <c r="J8" s="127">
        <v>47473</v>
      </c>
      <c r="K8" s="128">
        <f>1655.1-66.47</f>
        <v>1588.6299999999999</v>
      </c>
      <c r="L8" s="133">
        <f t="shared" si="0"/>
        <v>0.033463863669875506</v>
      </c>
      <c r="M8" s="133">
        <f t="shared" si="6"/>
        <v>0.007154860474586987</v>
      </c>
      <c r="N8" s="125">
        <f t="shared" si="1"/>
        <v>0.07808899558293866</v>
      </c>
    </row>
    <row r="9" spans="1:14" ht="15">
      <c r="A9" s="123" t="s">
        <v>14</v>
      </c>
      <c r="B9" s="127">
        <v>35329</v>
      </c>
      <c r="C9" s="128">
        <f>881-64.66</f>
        <v>816.34</v>
      </c>
      <c r="D9" s="133">
        <f t="shared" si="2"/>
        <v>0.023106796116504857</v>
      </c>
      <c r="E9" s="127">
        <v>621</v>
      </c>
      <c r="F9" s="128">
        <f>82.07-66.47</f>
        <v>15.599999999999994</v>
      </c>
      <c r="G9" s="133">
        <f>F9/E9</f>
        <v>0.025120772946859896</v>
      </c>
      <c r="H9" s="133">
        <f>G9-D9</f>
        <v>0.002013976830355039</v>
      </c>
      <c r="I9" s="125">
        <f>H9/D9</f>
        <v>0.08715950148175167</v>
      </c>
      <c r="J9" s="127"/>
      <c r="K9" s="128"/>
      <c r="L9" s="133" t="e">
        <f t="shared" si="0"/>
        <v>#DIV/0!</v>
      </c>
      <c r="M9" s="133" t="e">
        <f t="shared" si="6"/>
        <v>#DIV/0!</v>
      </c>
      <c r="N9" s="125" t="e">
        <f t="shared" si="1"/>
        <v>#DIV/0!</v>
      </c>
    </row>
    <row r="10" spans="1:14" ht="15">
      <c r="A10" s="123" t="s">
        <v>15</v>
      </c>
      <c r="B10" s="127">
        <v>600</v>
      </c>
      <c r="C10" s="128">
        <f>78.52-64.66</f>
        <v>13.86</v>
      </c>
      <c r="D10" s="133">
        <f t="shared" si="2"/>
        <v>0.0231</v>
      </c>
      <c r="E10" s="127">
        <v>528</v>
      </c>
      <c r="F10" s="128">
        <f>79.72-66.47</f>
        <v>13.25</v>
      </c>
      <c r="G10" s="133">
        <f t="shared" si="3"/>
        <v>0.025094696969696968</v>
      </c>
      <c r="H10" s="133">
        <f t="shared" si="4"/>
        <v>0.0019946969696969692</v>
      </c>
      <c r="I10" s="125">
        <f t="shared" si="5"/>
        <v>0.08635051816869997</v>
      </c>
      <c r="J10" s="127"/>
      <c r="K10" s="128"/>
      <c r="L10" s="133" t="e">
        <f t="shared" si="0"/>
        <v>#DIV/0!</v>
      </c>
      <c r="M10" s="133" t="e">
        <f t="shared" si="6"/>
        <v>#DIV/0!</v>
      </c>
      <c r="N10" s="125" t="e">
        <f t="shared" si="1"/>
        <v>#DIV/0!</v>
      </c>
    </row>
    <row r="11" spans="1:14" ht="15">
      <c r="A11" s="123" t="s">
        <v>16</v>
      </c>
      <c r="B11" s="127">
        <v>204</v>
      </c>
      <c r="C11" s="128">
        <f>69.37-64.66</f>
        <v>4.710000000000008</v>
      </c>
      <c r="D11" s="133">
        <f t="shared" si="2"/>
        <v>0.023088235294117687</v>
      </c>
      <c r="E11" s="127">
        <v>73</v>
      </c>
      <c r="F11" s="128">
        <f>68.41-66.47</f>
        <v>1.9399999999999977</v>
      </c>
      <c r="G11" s="133">
        <f t="shared" si="3"/>
        <v>0.026575342465753393</v>
      </c>
      <c r="H11" s="133">
        <f t="shared" si="4"/>
        <v>0.0034871071716357054</v>
      </c>
      <c r="I11" s="125">
        <f t="shared" si="5"/>
        <v>0.1510339411918647</v>
      </c>
      <c r="J11" s="127"/>
      <c r="K11" s="128"/>
      <c r="L11" s="133" t="e">
        <f t="shared" si="0"/>
        <v>#DIV/0!</v>
      </c>
      <c r="M11" s="133" t="e">
        <f t="shared" si="6"/>
        <v>#DIV/0!</v>
      </c>
      <c r="N11" s="125" t="e">
        <f t="shared" si="1"/>
        <v>#DIV/0!</v>
      </c>
    </row>
    <row r="12" spans="1:14" ht="15">
      <c r="A12" s="123" t="s">
        <v>17</v>
      </c>
      <c r="B12" s="127">
        <v>0</v>
      </c>
      <c r="C12" s="128">
        <v>0</v>
      </c>
      <c r="D12" s="133" t="e">
        <f t="shared" si="2"/>
        <v>#DIV/0!</v>
      </c>
      <c r="E12" s="127">
        <v>0</v>
      </c>
      <c r="F12" s="128">
        <v>0</v>
      </c>
      <c r="G12" s="133" t="e">
        <f>F12/E12</f>
        <v>#DIV/0!</v>
      </c>
      <c r="H12" s="133" t="e">
        <f>G12-D12</f>
        <v>#DIV/0!</v>
      </c>
      <c r="I12" s="125" t="e">
        <f>H12/D12</f>
        <v>#DIV/0!</v>
      </c>
      <c r="J12" s="127"/>
      <c r="K12" s="128"/>
      <c r="L12" s="133" t="e">
        <f t="shared" si="0"/>
        <v>#DIV/0!</v>
      </c>
      <c r="M12" s="133" t="e">
        <f t="shared" si="6"/>
        <v>#DIV/0!</v>
      </c>
      <c r="N12" s="125" t="e">
        <f t="shared" si="1"/>
        <v>#DIV/0!</v>
      </c>
    </row>
    <row r="13" spans="1:14" ht="15">
      <c r="A13" s="123" t="s">
        <v>18</v>
      </c>
      <c r="B13" s="127">
        <v>526</v>
      </c>
      <c r="C13" s="128">
        <f>76.81-64.66</f>
        <v>12.150000000000006</v>
      </c>
      <c r="D13" s="133">
        <f t="shared" si="2"/>
        <v>0.023098859315589363</v>
      </c>
      <c r="E13" s="127">
        <v>750</v>
      </c>
      <c r="F13" s="128">
        <f>87.18-66.47</f>
        <v>20.710000000000008</v>
      </c>
      <c r="G13" s="133">
        <f t="shared" si="3"/>
        <v>0.027613333333333344</v>
      </c>
      <c r="H13" s="133">
        <f t="shared" si="4"/>
        <v>0.004514474017743981</v>
      </c>
      <c r="I13" s="125">
        <f t="shared" si="5"/>
        <v>0.19544142661179695</v>
      </c>
      <c r="J13" s="127"/>
      <c r="K13" s="128"/>
      <c r="L13" s="133" t="e">
        <f t="shared" si="0"/>
        <v>#DIV/0!</v>
      </c>
      <c r="M13" s="133" t="e">
        <f t="shared" si="6"/>
        <v>#DIV/0!</v>
      </c>
      <c r="N13" s="125" t="e">
        <f t="shared" si="1"/>
        <v>#DIV/0!</v>
      </c>
    </row>
    <row r="14" spans="1:14" ht="15">
      <c r="A14" s="123" t="s">
        <v>19</v>
      </c>
      <c r="B14" s="127">
        <v>30977</v>
      </c>
      <c r="C14" s="128">
        <f>780.43-64.66</f>
        <v>715.77</v>
      </c>
      <c r="D14" s="133">
        <f t="shared" si="2"/>
        <v>0.023106498369758206</v>
      </c>
      <c r="E14" s="127">
        <v>682</v>
      </c>
      <c r="F14" s="128">
        <f>85.35-66.47</f>
        <v>18.879999999999995</v>
      </c>
      <c r="G14" s="133">
        <f t="shared" si="3"/>
        <v>0.027683284457478</v>
      </c>
      <c r="H14" s="133">
        <f t="shared" si="4"/>
        <v>0.004576786087719793</v>
      </c>
      <c r="I14" s="125">
        <f t="shared" si="5"/>
        <v>0.19807354686462975</v>
      </c>
      <c r="J14" s="127"/>
      <c r="K14" s="128"/>
      <c r="L14" s="133" t="e">
        <f t="shared" si="0"/>
        <v>#DIV/0!</v>
      </c>
      <c r="M14" s="133" t="e">
        <f t="shared" si="6"/>
        <v>#DIV/0!</v>
      </c>
      <c r="N14" s="125" t="e">
        <f t="shared" si="1"/>
        <v>#DIV/0!</v>
      </c>
    </row>
    <row r="15" spans="1:14" ht="15">
      <c r="A15" s="123" t="s">
        <v>20</v>
      </c>
      <c r="B15" s="127">
        <v>63337</v>
      </c>
      <c r="C15" s="128">
        <f>1911.45-62.04-3.41</f>
        <v>1846</v>
      </c>
      <c r="D15" s="133">
        <f t="shared" si="2"/>
        <v>0.029145681039518766</v>
      </c>
      <c r="E15" s="127">
        <v>65377</v>
      </c>
      <c r="F15" s="128">
        <f>2492.66-66.47</f>
        <v>2426.19</v>
      </c>
      <c r="G15" s="133">
        <f t="shared" si="3"/>
        <v>0.037110757605885863</v>
      </c>
      <c r="H15" s="133">
        <f t="shared" si="4"/>
        <v>0.007965076566367097</v>
      </c>
      <c r="I15" s="125">
        <f t="shared" si="5"/>
        <v>0.2732849699263233</v>
      </c>
      <c r="J15" s="127"/>
      <c r="K15" s="128"/>
      <c r="L15" s="133" t="e">
        <f t="shared" si="0"/>
        <v>#DIV/0!</v>
      </c>
      <c r="M15" s="133" t="e">
        <f t="shared" si="6"/>
        <v>#DIV/0!</v>
      </c>
      <c r="N15" s="125" t="e">
        <f t="shared" si="1"/>
        <v>#DIV/0!</v>
      </c>
    </row>
    <row r="16" spans="1:14" ht="15">
      <c r="A16" s="123" t="s">
        <v>21</v>
      </c>
      <c r="B16" s="127">
        <v>112630</v>
      </c>
      <c r="C16" s="128">
        <f>3611.92-66.47</f>
        <v>3545.4500000000003</v>
      </c>
      <c r="D16" s="133">
        <f t="shared" si="2"/>
        <v>0.03147873568321052</v>
      </c>
      <c r="E16" s="127">
        <v>97469</v>
      </c>
      <c r="F16" s="128">
        <f>3904.05-66.47</f>
        <v>3837.5800000000004</v>
      </c>
      <c r="G16" s="133">
        <f t="shared" si="3"/>
        <v>0.039372313248314854</v>
      </c>
      <c r="H16" s="133">
        <f t="shared" si="4"/>
        <v>0.007893577565104337</v>
      </c>
      <c r="I16" s="125">
        <f t="shared" si="5"/>
        <v>0.25075904078683986</v>
      </c>
      <c r="J16" s="127"/>
      <c r="K16" s="128"/>
      <c r="L16" s="133" t="e">
        <f t="shared" si="0"/>
        <v>#DIV/0!</v>
      </c>
      <c r="M16" s="133" t="e">
        <f t="shared" si="6"/>
        <v>#DIV/0!</v>
      </c>
      <c r="N16" s="125" t="e">
        <f t="shared" si="1"/>
        <v>#DIV/0!</v>
      </c>
    </row>
    <row r="19" spans="1:14" ht="15">
      <c r="A19" s="123" t="s">
        <v>42</v>
      </c>
      <c r="B19" s="173" t="s">
        <v>44</v>
      </c>
      <c r="C19" s="173"/>
      <c r="D19" s="173"/>
      <c r="E19" s="174" t="s">
        <v>45</v>
      </c>
      <c r="F19" s="175"/>
      <c r="G19" s="175"/>
      <c r="H19" s="175"/>
      <c r="I19" s="176"/>
      <c r="J19" s="174" t="s">
        <v>47</v>
      </c>
      <c r="K19" s="175"/>
      <c r="L19" s="175"/>
      <c r="M19" s="175"/>
      <c r="N19" s="176"/>
    </row>
    <row r="20" spans="1:14" ht="15">
      <c r="A20" s="126"/>
      <c r="B20" s="123" t="s">
        <v>7</v>
      </c>
      <c r="C20" s="123" t="s">
        <v>33</v>
      </c>
      <c r="D20" s="124" t="s">
        <v>43</v>
      </c>
      <c r="E20" s="123" t="s">
        <v>7</v>
      </c>
      <c r="F20" s="123" t="s">
        <v>33</v>
      </c>
      <c r="G20" s="124" t="s">
        <v>43</v>
      </c>
      <c r="H20" s="124" t="s">
        <v>30</v>
      </c>
      <c r="I20" s="125" t="s">
        <v>41</v>
      </c>
      <c r="J20" s="123" t="s">
        <v>7</v>
      </c>
      <c r="K20" s="123" t="s">
        <v>33</v>
      </c>
      <c r="L20" s="124" t="s">
        <v>43</v>
      </c>
      <c r="M20" s="124" t="s">
        <v>30</v>
      </c>
      <c r="N20" s="125" t="s">
        <v>41</v>
      </c>
    </row>
    <row r="21" spans="1:14" ht="15">
      <c r="A21" s="123" t="s">
        <v>10</v>
      </c>
      <c r="B21" s="127">
        <v>221500</v>
      </c>
      <c r="C21" s="128">
        <f>6592.15-64.66</f>
        <v>6527.49</v>
      </c>
      <c r="D21" s="133">
        <f>C21/B21</f>
        <v>0.029469480812641082</v>
      </c>
      <c r="E21" s="127">
        <v>217926</v>
      </c>
      <c r="F21" s="128">
        <f>6926.5-66.47</f>
        <v>6860.03</v>
      </c>
      <c r="G21" s="133">
        <f>F21/E21</f>
        <v>0.03147871295760946</v>
      </c>
      <c r="H21" s="133">
        <f>G21-D21</f>
        <v>0.0020092321449683807</v>
      </c>
      <c r="I21" s="125">
        <f>H21/D21</f>
        <v>0.06818009987154272</v>
      </c>
      <c r="J21" s="127">
        <v>310590</v>
      </c>
      <c r="K21" s="128">
        <f>12295.12-66.47</f>
        <v>12228.650000000001</v>
      </c>
      <c r="L21" s="133">
        <f aca="true" t="shared" si="7" ref="L21:L32">K21/J21</f>
        <v>0.039372323642100526</v>
      </c>
      <c r="M21" s="133">
        <f>L21-G21</f>
        <v>0.007893610684491063</v>
      </c>
      <c r="N21" s="125">
        <f aca="true" t="shared" si="8" ref="N21:N32">M21/I21</f>
        <v>0.11577587447603212</v>
      </c>
    </row>
    <row r="22" spans="1:14" ht="15">
      <c r="A22" s="123" t="s">
        <v>11</v>
      </c>
      <c r="B22" s="127">
        <v>221926</v>
      </c>
      <c r="C22" s="128">
        <f>6310-64.66</f>
        <v>6245.34</v>
      </c>
      <c r="D22" s="133">
        <f aca="true" t="shared" si="9" ref="D22:D32">C22/B22</f>
        <v>0.028141542676387625</v>
      </c>
      <c r="E22" s="127">
        <v>234053</v>
      </c>
      <c r="F22" s="128">
        <f>7434.15-66.47</f>
        <v>7367.679999999999</v>
      </c>
      <c r="G22" s="133">
        <f aca="true" t="shared" si="10" ref="G22:G32">F22/E22</f>
        <v>0.03147868217882274</v>
      </c>
      <c r="H22" s="133">
        <f aca="true" t="shared" si="11" ref="H22:H32">G22-D22</f>
        <v>0.003337139502435117</v>
      </c>
      <c r="I22" s="125">
        <f aca="true" t="shared" si="12" ref="I22:I32">H22/D22</f>
        <v>0.1185840996995225</v>
      </c>
      <c r="J22" s="127">
        <v>264139</v>
      </c>
      <c r="K22" s="128">
        <f>10448.87-66.47</f>
        <v>10382.400000000001</v>
      </c>
      <c r="L22" s="133">
        <f t="shared" si="7"/>
        <v>0.039306577218812824</v>
      </c>
      <c r="M22" s="133">
        <f aca="true" t="shared" si="13" ref="M22:M32">L22-G22</f>
        <v>0.007827895039990082</v>
      </c>
      <c r="N22" s="125">
        <f t="shared" si="8"/>
        <v>0.06601133760617996</v>
      </c>
    </row>
    <row r="23" spans="1:14" ht="15">
      <c r="A23" s="123" t="s">
        <v>12</v>
      </c>
      <c r="B23" s="127">
        <v>257340</v>
      </c>
      <c r="C23" s="128">
        <f>7389.16-64.66</f>
        <v>7324.5</v>
      </c>
      <c r="D23" s="133">
        <f t="shared" si="9"/>
        <v>0.028462345535089764</v>
      </c>
      <c r="E23" s="127">
        <v>248012</v>
      </c>
      <c r="F23" s="128">
        <f>7517.2-66.47</f>
        <v>7450.73</v>
      </c>
      <c r="G23" s="133">
        <f t="shared" si="10"/>
        <v>0.030041812492943888</v>
      </c>
      <c r="H23" s="133">
        <f t="shared" si="11"/>
        <v>0.001579466957854124</v>
      </c>
      <c r="I23" s="125">
        <f t="shared" si="12"/>
        <v>0.055493211404762134</v>
      </c>
      <c r="J23" s="127"/>
      <c r="K23" s="128"/>
      <c r="L23" s="133" t="e">
        <f t="shared" si="7"/>
        <v>#DIV/0!</v>
      </c>
      <c r="M23" s="133" t="e">
        <f t="shared" si="13"/>
        <v>#DIV/0!</v>
      </c>
      <c r="N23" s="125" t="e">
        <f t="shared" si="8"/>
        <v>#DIV/0!</v>
      </c>
    </row>
    <row r="24" spans="1:14" ht="15">
      <c r="A24" s="123" t="s">
        <v>13</v>
      </c>
      <c r="B24" s="127">
        <v>118883</v>
      </c>
      <c r="C24" s="128">
        <f>2681.02-64.66</f>
        <v>2616.36</v>
      </c>
      <c r="D24" s="133">
        <f t="shared" si="9"/>
        <v>0.022007856463918306</v>
      </c>
      <c r="E24" s="127">
        <v>134082</v>
      </c>
      <c r="F24" s="128">
        <f>3313.39-66.47</f>
        <v>3246.92</v>
      </c>
      <c r="G24" s="133">
        <f t="shared" si="10"/>
        <v>0.024215927566712907</v>
      </c>
      <c r="H24" s="133">
        <f t="shared" si="11"/>
        <v>0.0022080711027946016</v>
      </c>
      <c r="I24" s="125">
        <f t="shared" si="12"/>
        <v>0.10033103889125757</v>
      </c>
      <c r="J24" s="127">
        <v>124477</v>
      </c>
      <c r="K24" s="128">
        <f>3971.45-66.47</f>
        <v>3904.98</v>
      </c>
      <c r="L24" s="133">
        <f t="shared" si="7"/>
        <v>0.03137109666846084</v>
      </c>
      <c r="M24" s="133">
        <f t="shared" si="13"/>
        <v>0.007155169101747936</v>
      </c>
      <c r="N24" s="125">
        <f t="shared" si="8"/>
        <v>0.07131560861741867</v>
      </c>
    </row>
    <row r="25" spans="1:14" ht="15">
      <c r="A25" s="123" t="s">
        <v>14</v>
      </c>
      <c r="B25" s="127">
        <v>86185</v>
      </c>
      <c r="C25" s="128">
        <f>1875.73-64.66</f>
        <v>1811.07</v>
      </c>
      <c r="D25" s="133">
        <f t="shared" si="9"/>
        <v>0.021013749492371062</v>
      </c>
      <c r="E25" s="127">
        <v>52544</v>
      </c>
      <c r="F25" s="128">
        <f>1276.19-66.47</f>
        <v>1209.72</v>
      </c>
      <c r="G25" s="133">
        <f>F25/E25</f>
        <v>0.02302299025578563</v>
      </c>
      <c r="H25" s="133">
        <f>G25-D25</f>
        <v>0.0020092407634145666</v>
      </c>
      <c r="I25" s="125">
        <f>H25/D25</f>
        <v>0.09561552849690207</v>
      </c>
      <c r="J25" s="127"/>
      <c r="K25" s="128"/>
      <c r="L25" s="133" t="e">
        <f t="shared" si="7"/>
        <v>#DIV/0!</v>
      </c>
      <c r="M25" s="133" t="e">
        <f t="shared" si="13"/>
        <v>#DIV/0!</v>
      </c>
      <c r="N25" s="125" t="e">
        <f t="shared" si="8"/>
        <v>#DIV/0!</v>
      </c>
    </row>
    <row r="26" spans="1:14" ht="15">
      <c r="A26" s="123" t="s">
        <v>15</v>
      </c>
      <c r="B26" s="127">
        <v>28798</v>
      </c>
      <c r="C26" s="128">
        <f>669.81-64.66</f>
        <v>605.15</v>
      </c>
      <c r="D26" s="133">
        <f t="shared" si="9"/>
        <v>0.021013612056392805</v>
      </c>
      <c r="E26" s="127">
        <v>28401</v>
      </c>
      <c r="F26" s="128">
        <f>720.35-66.47</f>
        <v>653.88</v>
      </c>
      <c r="G26" s="133">
        <f t="shared" si="10"/>
        <v>0.02302313298827506</v>
      </c>
      <c r="H26" s="133">
        <f t="shared" si="11"/>
        <v>0.002009520931882256</v>
      </c>
      <c r="I26" s="125">
        <f t="shared" si="12"/>
        <v>0.09562948656753732</v>
      </c>
      <c r="J26" s="127"/>
      <c r="K26" s="128"/>
      <c r="L26" s="133" t="e">
        <f t="shared" si="7"/>
        <v>#DIV/0!</v>
      </c>
      <c r="M26" s="133" t="e">
        <f t="shared" si="13"/>
        <v>#DIV/0!</v>
      </c>
      <c r="N26" s="125" t="e">
        <f t="shared" si="8"/>
        <v>#DIV/0!</v>
      </c>
    </row>
    <row r="27" spans="1:14" ht="15">
      <c r="A27" s="123" t="s">
        <v>16</v>
      </c>
      <c r="B27" s="127">
        <v>6500</v>
      </c>
      <c r="C27" s="128">
        <f>201.26-64.66</f>
        <v>136.6</v>
      </c>
      <c r="D27" s="133">
        <f t="shared" si="9"/>
        <v>0.021015384615384613</v>
      </c>
      <c r="E27" s="127">
        <v>12505</v>
      </c>
      <c r="F27" s="128">
        <f>371.74-66.47</f>
        <v>305.27</v>
      </c>
      <c r="G27" s="133">
        <f t="shared" si="10"/>
        <v>0.02441183526589364</v>
      </c>
      <c r="H27" s="133">
        <f t="shared" si="11"/>
        <v>0.0033964506505090274</v>
      </c>
      <c r="I27" s="125">
        <f t="shared" si="12"/>
        <v>0.16161734427751595</v>
      </c>
      <c r="J27" s="127"/>
      <c r="K27" s="128"/>
      <c r="L27" s="133" t="e">
        <f t="shared" si="7"/>
        <v>#DIV/0!</v>
      </c>
      <c r="M27" s="133" t="e">
        <f t="shared" si="13"/>
        <v>#DIV/0!</v>
      </c>
      <c r="N27" s="125" t="e">
        <f t="shared" si="8"/>
        <v>#DIV/0!</v>
      </c>
    </row>
    <row r="28" spans="1:14" ht="15">
      <c r="A28" s="123" t="s">
        <v>17</v>
      </c>
      <c r="B28" s="127">
        <v>3656</v>
      </c>
      <c r="C28" s="128">
        <f>141.49-64.66</f>
        <v>76.83000000000001</v>
      </c>
      <c r="D28" s="133">
        <f t="shared" si="9"/>
        <v>0.021014770240700222</v>
      </c>
      <c r="E28" s="127">
        <v>1148</v>
      </c>
      <c r="F28" s="128">
        <f>94.61-66.47</f>
        <v>28.14</v>
      </c>
      <c r="G28" s="133">
        <f t="shared" si="10"/>
        <v>0.02451219512195122</v>
      </c>
      <c r="H28" s="133">
        <f t="shared" si="11"/>
        <v>0.0034974248812509982</v>
      </c>
      <c r="I28" s="125">
        <f t="shared" si="12"/>
        <v>0.1664269864096531</v>
      </c>
      <c r="J28" s="127"/>
      <c r="K28" s="128"/>
      <c r="L28" s="133" t="e">
        <f t="shared" si="7"/>
        <v>#DIV/0!</v>
      </c>
      <c r="M28" s="133" t="e">
        <f t="shared" si="13"/>
        <v>#DIV/0!</v>
      </c>
      <c r="N28" s="125" t="e">
        <f t="shared" si="8"/>
        <v>#DIV/0!</v>
      </c>
    </row>
    <row r="29" spans="1:14" ht="15">
      <c r="A29" s="123" t="s">
        <v>18</v>
      </c>
      <c r="B29" s="127">
        <v>27776</v>
      </c>
      <c r="C29" s="128">
        <f>648.33-64.66</f>
        <v>583.6700000000001</v>
      </c>
      <c r="D29" s="133">
        <f t="shared" si="9"/>
        <v>0.021013464861751156</v>
      </c>
      <c r="E29" s="127">
        <v>19903</v>
      </c>
      <c r="F29" s="128">
        <f>574.4-66.47</f>
        <v>507.92999999999995</v>
      </c>
      <c r="G29" s="133">
        <f t="shared" si="10"/>
        <v>0.0255202733256293</v>
      </c>
      <c r="H29" s="133">
        <f t="shared" si="11"/>
        <v>0.004506808463878145</v>
      </c>
      <c r="I29" s="125">
        <f t="shared" si="12"/>
        <v>0.21447241059619193</v>
      </c>
      <c r="J29" s="127"/>
      <c r="K29" s="128"/>
      <c r="L29" s="133" t="e">
        <f t="shared" si="7"/>
        <v>#DIV/0!</v>
      </c>
      <c r="M29" s="133" t="e">
        <f t="shared" si="13"/>
        <v>#DIV/0!</v>
      </c>
      <c r="N29" s="125" t="e">
        <f t="shared" si="8"/>
        <v>#DIV/0!</v>
      </c>
    </row>
    <row r="30" spans="1:14" ht="15">
      <c r="A30" s="123" t="s">
        <v>19</v>
      </c>
      <c r="B30" s="127">
        <v>76193</v>
      </c>
      <c r="C30" s="128">
        <f>1808.73-64.66</f>
        <v>1744.07</v>
      </c>
      <c r="D30" s="133">
        <f t="shared" si="9"/>
        <v>0.02289016051343299</v>
      </c>
      <c r="E30" s="127">
        <v>30924</v>
      </c>
      <c r="F30" s="128">
        <f>915.99-66.47</f>
        <v>849.52</v>
      </c>
      <c r="G30" s="133">
        <f t="shared" si="10"/>
        <v>0.02747121976458414</v>
      </c>
      <c r="H30" s="133">
        <f t="shared" si="11"/>
        <v>0.00458105925115115</v>
      </c>
      <c r="I30" s="125">
        <f t="shared" si="12"/>
        <v>0.2001322467119781</v>
      </c>
      <c r="J30" s="127"/>
      <c r="K30" s="128"/>
      <c r="L30" s="133" t="e">
        <f t="shared" si="7"/>
        <v>#DIV/0!</v>
      </c>
      <c r="M30" s="133" t="e">
        <f t="shared" si="13"/>
        <v>#DIV/0!</v>
      </c>
      <c r="N30" s="125" t="e">
        <f t="shared" si="8"/>
        <v>#DIV/0!</v>
      </c>
    </row>
    <row r="31" spans="1:14" ht="15">
      <c r="A31" s="123" t="s">
        <v>20</v>
      </c>
      <c r="B31" s="127">
        <v>136137</v>
      </c>
      <c r="C31" s="128">
        <f>4033.28-65.45</f>
        <v>3967.8300000000004</v>
      </c>
      <c r="D31" s="133">
        <f t="shared" si="9"/>
        <v>0.02914586042001807</v>
      </c>
      <c r="E31" s="127">
        <v>134095</v>
      </c>
      <c r="F31" s="128">
        <f>5084.96-66.47</f>
        <v>5018.49</v>
      </c>
      <c r="G31" s="133">
        <f t="shared" si="10"/>
        <v>0.037424885342481076</v>
      </c>
      <c r="H31" s="133">
        <f t="shared" si="11"/>
        <v>0.008279024922463005</v>
      </c>
      <c r="I31" s="125">
        <f t="shared" si="12"/>
        <v>0.28405491562626073</v>
      </c>
      <c r="J31" s="127"/>
      <c r="K31" s="128"/>
      <c r="L31" s="133" t="e">
        <f t="shared" si="7"/>
        <v>#DIV/0!</v>
      </c>
      <c r="M31" s="133" t="e">
        <f t="shared" si="13"/>
        <v>#DIV/0!</v>
      </c>
      <c r="N31" s="125" t="e">
        <f t="shared" si="8"/>
        <v>#DIV/0!</v>
      </c>
    </row>
    <row r="32" spans="1:14" ht="15">
      <c r="A32" s="123" t="s">
        <v>21</v>
      </c>
      <c r="B32" s="127">
        <v>265831</v>
      </c>
      <c r="C32" s="128">
        <f>8434.49-66.47</f>
        <v>8368.02</v>
      </c>
      <c r="D32" s="133">
        <f t="shared" si="9"/>
        <v>0.03147872144332302</v>
      </c>
      <c r="E32" s="127">
        <v>271743</v>
      </c>
      <c r="F32" s="128">
        <f>10765.62-66.47</f>
        <v>10699.150000000001</v>
      </c>
      <c r="G32" s="133">
        <f t="shared" si="10"/>
        <v>0.039372311338286545</v>
      </c>
      <c r="H32" s="133">
        <f t="shared" si="11"/>
        <v>0.007893589894963526</v>
      </c>
      <c r="I32" s="125">
        <f t="shared" si="12"/>
        <v>0.25075954591026894</v>
      </c>
      <c r="J32" s="127"/>
      <c r="K32" s="128"/>
      <c r="L32" s="133" t="e">
        <f t="shared" si="7"/>
        <v>#DIV/0!</v>
      </c>
      <c r="M32" s="133" t="e">
        <f t="shared" si="13"/>
        <v>#DIV/0!</v>
      </c>
      <c r="N32" s="125" t="e">
        <f t="shared" si="8"/>
        <v>#DIV/0!</v>
      </c>
    </row>
  </sheetData>
  <mergeCells count="6">
    <mergeCell ref="B3:D3"/>
    <mergeCell ref="B19:D19"/>
    <mergeCell ref="E3:I3"/>
    <mergeCell ref="J3:N3"/>
    <mergeCell ref="J19:N19"/>
    <mergeCell ref="E19:I19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viabilisation 97</dc:title>
  <dc:subject/>
  <dc:creator>A.A.S.U.</dc:creator>
  <cp:keywords/>
  <dc:description/>
  <cp:lastModifiedBy>Install</cp:lastModifiedBy>
  <cp:lastPrinted>2007-01-15T08:47:10Z</cp:lastPrinted>
  <dcterms:created xsi:type="dcterms:W3CDTF">1999-10-27T13:57:25Z</dcterms:created>
  <dcterms:modified xsi:type="dcterms:W3CDTF">2007-09-11T15:13:17Z</dcterms:modified>
  <cp:category/>
  <cp:version/>
  <cp:contentType/>
  <cp:contentStatus/>
</cp:coreProperties>
</file>